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Documents\D\ВТС\Інвестиційні програми\ІП-2021\виконання\червень\"/>
    </mc:Choice>
  </mc:AlternateContent>
  <bookViews>
    <workbookView xWindow="0" yWindow="0" windowWidth="25200" windowHeight="11550" tabRatio="862" activeTab="2"/>
  </bookViews>
  <sheets>
    <sheet name="Загальна інформація" sheetId="2" r:id="rId1"/>
    <sheet name="1. Зведений звіт" sheetId="1" r:id="rId2"/>
    <sheet name="2. Детальний звіт" sheetId="24" r:id="rId3"/>
  </sheets>
  <definedNames>
    <definedName name="_xlnm.Print_Area" localSheetId="1">'1. Зведений звіт'!$A$1:$I$21</definedName>
    <definedName name="_xlnm.Print_Area" localSheetId="2">'2. Детальний звіт'!$A$1:$V$300</definedName>
    <definedName name="_xlnm.Print_Area" localSheetId="0">'Загальна інформація'!$A$1:$E$29</definedName>
  </definedNames>
  <calcPr calcId="152511"/>
</workbook>
</file>

<file path=xl/calcChain.xml><?xml version="1.0" encoding="utf-8"?>
<calcChain xmlns="http://schemas.openxmlformats.org/spreadsheetml/2006/main">
  <c r="H184" i="24" l="1"/>
  <c r="I184" i="24"/>
  <c r="R261" i="24" l="1"/>
  <c r="R264" i="24"/>
  <c r="S290" i="24" l="1"/>
  <c r="S288" i="24"/>
  <c r="S289" i="24"/>
  <c r="S287" i="24"/>
  <c r="S285" i="24"/>
  <c r="S279" i="24"/>
  <c r="S280" i="24"/>
  <c r="S281" i="24"/>
  <c r="S282" i="24"/>
  <c r="S283" i="24"/>
  <c r="S284" i="24"/>
  <c r="S278" i="24"/>
  <c r="S275" i="24"/>
  <c r="S268" i="24"/>
  <c r="S269" i="24"/>
  <c r="S270" i="24"/>
  <c r="S271" i="24"/>
  <c r="S272" i="24"/>
  <c r="S273" i="24"/>
  <c r="S274" i="24"/>
  <c r="S267" i="24"/>
  <c r="S265" i="24"/>
  <c r="S253" i="24"/>
  <c r="S254" i="24"/>
  <c r="S255" i="24"/>
  <c r="S256" i="24"/>
  <c r="S257" i="24"/>
  <c r="S258" i="24"/>
  <c r="S259" i="24"/>
  <c r="S260" i="24"/>
  <c r="S261" i="24"/>
  <c r="S262" i="24"/>
  <c r="S263" i="24"/>
  <c r="S264" i="24"/>
  <c r="S252" i="24"/>
  <c r="S249" i="24"/>
  <c r="S248" i="24"/>
  <c r="S247" i="24"/>
  <c r="S245" i="24"/>
  <c r="S227" i="24"/>
  <c r="S228" i="24"/>
  <c r="S229" i="24"/>
  <c r="S230" i="24"/>
  <c r="S231" i="24"/>
  <c r="S232" i="24"/>
  <c r="S233" i="24"/>
  <c r="S234" i="24"/>
  <c r="S235" i="24"/>
  <c r="S236" i="24"/>
  <c r="S237" i="24"/>
  <c r="S238" i="24"/>
  <c r="S239" i="24"/>
  <c r="S240" i="24"/>
  <c r="S241" i="24"/>
  <c r="S242" i="24"/>
  <c r="S243" i="24"/>
  <c r="S244" i="24"/>
  <c r="S226" i="24"/>
  <c r="S100" i="24"/>
  <c r="S101" i="24"/>
  <c r="S102" i="24"/>
  <c r="S103" i="24"/>
  <c r="S104" i="24"/>
  <c r="S105" i="24"/>
  <c r="S106" i="24"/>
  <c r="S107" i="24"/>
  <c r="S108" i="24"/>
  <c r="S109" i="24"/>
  <c r="S110" i="24"/>
  <c r="S111" i="24"/>
  <c r="S112" i="24"/>
  <c r="S113" i="24"/>
  <c r="S114" i="24"/>
  <c r="S115" i="24"/>
  <c r="S116" i="24"/>
  <c r="S117" i="24"/>
  <c r="S118" i="24"/>
  <c r="S119" i="24"/>
  <c r="S120" i="24"/>
  <c r="S121" i="24"/>
  <c r="S122" i="24"/>
  <c r="S123" i="24"/>
  <c r="S124" i="24"/>
  <c r="S125" i="24"/>
  <c r="S126" i="24"/>
  <c r="S127" i="24"/>
  <c r="S128" i="24"/>
  <c r="S129" i="24"/>
  <c r="S130" i="24"/>
  <c r="S131" i="24"/>
  <c r="S132" i="24"/>
  <c r="S133" i="24"/>
  <c r="S134" i="24"/>
  <c r="S135" i="24"/>
  <c r="S136" i="24"/>
  <c r="S137" i="24"/>
  <c r="S138" i="24"/>
  <c r="S139" i="24"/>
  <c r="S140" i="24"/>
  <c r="S141" i="24"/>
  <c r="S142" i="24"/>
  <c r="S143" i="24"/>
  <c r="S144" i="24"/>
  <c r="S145" i="24"/>
  <c r="S146" i="24"/>
  <c r="S147" i="24"/>
  <c r="S148" i="24"/>
  <c r="S149" i="24"/>
  <c r="S150" i="24"/>
  <c r="S151" i="24"/>
  <c r="S152" i="24"/>
  <c r="S153" i="24"/>
  <c r="S154" i="24"/>
  <c r="S155" i="24"/>
  <c r="S156" i="24"/>
  <c r="S157" i="24"/>
  <c r="S158" i="24"/>
  <c r="S159" i="24"/>
  <c r="S160" i="24"/>
  <c r="S161" i="24"/>
  <c r="S162" i="24"/>
  <c r="S163" i="24"/>
  <c r="S164" i="24"/>
  <c r="S165" i="24"/>
  <c r="S166" i="24"/>
  <c r="S167" i="24"/>
  <c r="S168" i="24"/>
  <c r="S169" i="24"/>
  <c r="S170" i="24"/>
  <c r="S171" i="24"/>
  <c r="S172" i="24"/>
  <c r="S173" i="24"/>
  <c r="S174" i="24"/>
  <c r="S175" i="24"/>
  <c r="S176" i="24"/>
  <c r="S177" i="24"/>
  <c r="S178" i="24"/>
  <c r="S179" i="24"/>
  <c r="S180" i="24"/>
  <c r="S181" i="24"/>
  <c r="S182" i="24"/>
  <c r="S183" i="24"/>
  <c r="S184" i="24"/>
  <c r="S185" i="24"/>
  <c r="S186" i="24"/>
  <c r="S187" i="24"/>
  <c r="S188" i="24"/>
  <c r="S189" i="24"/>
  <c r="S190" i="24"/>
  <c r="S191" i="24"/>
  <c r="S192" i="24"/>
  <c r="S193" i="24"/>
  <c r="S194" i="24"/>
  <c r="S195" i="24"/>
  <c r="S196" i="24"/>
  <c r="S197" i="24"/>
  <c r="S198" i="24"/>
  <c r="S199" i="24"/>
  <c r="S200" i="24"/>
  <c r="S201" i="24"/>
  <c r="S202" i="24"/>
  <c r="S203" i="24"/>
  <c r="S204" i="24"/>
  <c r="S205" i="24"/>
  <c r="S206" i="24"/>
  <c r="S207" i="24"/>
  <c r="S208" i="24"/>
  <c r="S209" i="24"/>
  <c r="S210" i="24"/>
  <c r="S211" i="24"/>
  <c r="S212" i="24"/>
  <c r="S213" i="24"/>
  <c r="S214" i="24"/>
  <c r="S215" i="24"/>
  <c r="S216" i="24"/>
  <c r="S217" i="24"/>
  <c r="S218" i="24"/>
  <c r="S219" i="24"/>
  <c r="S220" i="24"/>
  <c r="S221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46" i="24"/>
  <c r="S47" i="24"/>
  <c r="S48" i="24"/>
  <c r="S49" i="24"/>
  <c r="S50" i="24"/>
  <c r="S51" i="24"/>
  <c r="S52" i="24"/>
  <c r="S53" i="24"/>
  <c r="S54" i="24"/>
  <c r="S55" i="24"/>
  <c r="S56" i="24"/>
  <c r="S57" i="24"/>
  <c r="S58" i="24"/>
  <c r="S59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4" i="24"/>
  <c r="S75" i="24"/>
  <c r="S76" i="24"/>
  <c r="S77" i="24"/>
  <c r="S78" i="24"/>
  <c r="S79" i="24"/>
  <c r="S80" i="24"/>
  <c r="S81" i="24"/>
  <c r="S82" i="24"/>
  <c r="S83" i="24"/>
  <c r="S84" i="24"/>
  <c r="S85" i="24"/>
  <c r="S86" i="24"/>
  <c r="S87" i="24"/>
  <c r="S88" i="24"/>
  <c r="S89" i="24"/>
  <c r="S90" i="24"/>
  <c r="S91" i="24"/>
  <c r="S92" i="24"/>
  <c r="S93" i="24"/>
  <c r="S94" i="24"/>
  <c r="S95" i="24"/>
  <c r="S96" i="24"/>
  <c r="S97" i="24"/>
  <c r="S98" i="24"/>
  <c r="S99" i="24"/>
  <c r="S8" i="24"/>
  <c r="N288" i="24" l="1"/>
  <c r="N289" i="24"/>
  <c r="N287" i="24"/>
  <c r="I14" i="1" l="1"/>
  <c r="I13" i="1"/>
  <c r="I12" i="1"/>
  <c r="I11" i="1"/>
  <c r="I10" i="1"/>
  <c r="I9" i="1"/>
  <c r="L289" i="24"/>
  <c r="J288" i="24"/>
  <c r="L287" i="24"/>
  <c r="J280" i="24" l="1"/>
  <c r="J274" i="24"/>
  <c r="J273" i="24"/>
  <c r="J272" i="24"/>
  <c r="J271" i="24"/>
  <c r="J270" i="24"/>
  <c r="J269" i="24"/>
  <c r="J268" i="24"/>
  <c r="J267" i="24"/>
  <c r="J260" i="24"/>
  <c r="J259" i="24"/>
  <c r="J258" i="24"/>
  <c r="J257" i="24"/>
  <c r="J254" i="24"/>
  <c r="J253" i="24"/>
  <c r="J252" i="24"/>
  <c r="J243" i="24" l="1"/>
  <c r="J242" i="24"/>
  <c r="J238" i="24"/>
  <c r="J235" i="24"/>
  <c r="N234" i="24"/>
  <c r="J234" i="24"/>
  <c r="N231" i="24"/>
  <c r="J231" i="24"/>
  <c r="J230" i="24"/>
  <c r="J229" i="24"/>
  <c r="J228" i="24"/>
  <c r="J227" i="24"/>
  <c r="J226" i="24"/>
  <c r="N158" i="24"/>
  <c r="J158" i="24"/>
  <c r="J157" i="24"/>
  <c r="N220" i="24" l="1"/>
  <c r="L220" i="24"/>
  <c r="J220" i="24" s="1"/>
  <c r="L219" i="24"/>
  <c r="N218" i="24"/>
  <c r="L218" i="24"/>
  <c r="J217" i="24"/>
  <c r="J216" i="24"/>
  <c r="J215" i="24"/>
  <c r="N214" i="24"/>
  <c r="L214" i="24"/>
  <c r="J214" i="24"/>
  <c r="J213" i="24"/>
  <c r="J212" i="24"/>
  <c r="N211" i="24"/>
  <c r="L211" i="24"/>
  <c r="J211" i="24" s="1"/>
  <c r="J210" i="24"/>
  <c r="N209" i="24"/>
  <c r="L209" i="24"/>
  <c r="J209" i="24" s="1"/>
  <c r="N208" i="24"/>
  <c r="M208" i="24"/>
  <c r="L208" i="24"/>
  <c r="K208" i="24"/>
  <c r="J208" i="24"/>
  <c r="N201" i="24"/>
  <c r="L201" i="24"/>
  <c r="J201" i="24" s="1"/>
  <c r="N199" i="24"/>
  <c r="M199" i="24"/>
  <c r="L199" i="24"/>
  <c r="K199" i="24"/>
  <c r="J199" i="24"/>
  <c r="J198" i="24"/>
  <c r="J196" i="24"/>
  <c r="L194" i="24"/>
  <c r="L193" i="24"/>
  <c r="L191" i="24" s="1"/>
  <c r="J191" i="24" s="1"/>
  <c r="N191" i="24"/>
  <c r="M191" i="24"/>
  <c r="K191" i="24"/>
  <c r="J190" i="24"/>
  <c r="J189" i="24"/>
  <c r="N188" i="24"/>
  <c r="N184" i="24" s="1"/>
  <c r="L188" i="24"/>
  <c r="J188" i="24"/>
  <c r="N187" i="24"/>
  <c r="L187" i="24"/>
  <c r="J187" i="24" s="1"/>
  <c r="M184" i="24"/>
  <c r="L184" i="24"/>
  <c r="J184" i="24" s="1"/>
  <c r="K184" i="24"/>
  <c r="L183" i="24"/>
  <c r="L180" i="24"/>
  <c r="N156" i="24"/>
  <c r="L156" i="24"/>
  <c r="J156" i="24" s="1"/>
  <c r="N155" i="24"/>
  <c r="L155" i="24"/>
  <c r="J155" i="24"/>
  <c r="J154" i="24"/>
  <c r="N153" i="24"/>
  <c r="N152" i="24" s="1"/>
  <c r="L153" i="24"/>
  <c r="J153" i="24"/>
  <c r="M152" i="24"/>
  <c r="K152" i="24"/>
  <c r="N151" i="24"/>
  <c r="N150" i="24" s="1"/>
  <c r="L151" i="24"/>
  <c r="J151" i="24"/>
  <c r="M150" i="24"/>
  <c r="L150" i="24"/>
  <c r="K150" i="24"/>
  <c r="J150" i="24" s="1"/>
  <c r="N149" i="24"/>
  <c r="N147" i="24" s="1"/>
  <c r="L149" i="24"/>
  <c r="J149" i="24"/>
  <c r="N148" i="24"/>
  <c r="L148" i="24"/>
  <c r="J148" i="24" s="1"/>
  <c r="M147" i="24"/>
  <c r="L147" i="24"/>
  <c r="J147" i="24" s="1"/>
  <c r="K147" i="24"/>
  <c r="N146" i="24"/>
  <c r="L146" i="24"/>
  <c r="J146" i="24" s="1"/>
  <c r="N145" i="24"/>
  <c r="M145" i="24"/>
  <c r="L145" i="24"/>
  <c r="J145" i="24" s="1"/>
  <c r="K145" i="24"/>
  <c r="N143" i="24"/>
  <c r="L143" i="24"/>
  <c r="J143" i="24" s="1"/>
  <c r="N142" i="24"/>
  <c r="L142" i="24"/>
  <c r="J142" i="24"/>
  <c r="N141" i="24"/>
  <c r="L141" i="24"/>
  <c r="J141" i="24" s="1"/>
  <c r="N140" i="24"/>
  <c r="M140" i="24"/>
  <c r="K140" i="24"/>
  <c r="N135" i="24"/>
  <c r="L135" i="24"/>
  <c r="J135" i="24" s="1"/>
  <c r="N134" i="24"/>
  <c r="M134" i="24"/>
  <c r="L134" i="24"/>
  <c r="K134" i="24"/>
  <c r="J134" i="24"/>
  <c r="N133" i="24"/>
  <c r="L133" i="24"/>
  <c r="J133" i="24" s="1"/>
  <c r="N132" i="24"/>
  <c r="L132" i="24"/>
  <c r="J132" i="24"/>
  <c r="N131" i="24"/>
  <c r="L131" i="24"/>
  <c r="L129" i="24" s="1"/>
  <c r="J129" i="24" s="1"/>
  <c r="N130" i="24"/>
  <c r="N129" i="24" s="1"/>
  <c r="L130" i="24"/>
  <c r="J130" i="24"/>
  <c r="M129" i="24"/>
  <c r="K129" i="24"/>
  <c r="N128" i="24"/>
  <c r="N127" i="24" s="1"/>
  <c r="L128" i="24"/>
  <c r="J128" i="24"/>
  <c r="M127" i="24"/>
  <c r="L127" i="24"/>
  <c r="J127" i="24" s="1"/>
  <c r="K127" i="24"/>
  <c r="N124" i="24"/>
  <c r="L124" i="24"/>
  <c r="J124" i="24"/>
  <c r="N123" i="24"/>
  <c r="L123" i="24"/>
  <c r="J123" i="24"/>
  <c r="N122" i="24"/>
  <c r="M122" i="24"/>
  <c r="L122" i="24"/>
  <c r="K122" i="24"/>
  <c r="J122" i="24"/>
  <c r="N120" i="24"/>
  <c r="L120" i="24"/>
  <c r="J120" i="24"/>
  <c r="N119" i="24"/>
  <c r="M119" i="24"/>
  <c r="L119" i="24"/>
  <c r="K119" i="24"/>
  <c r="J119" i="24"/>
  <c r="N118" i="24"/>
  <c r="L118" i="24"/>
  <c r="J118" i="24"/>
  <c r="N117" i="24"/>
  <c r="M117" i="24"/>
  <c r="L117" i="24"/>
  <c r="K117" i="24"/>
  <c r="J117" i="24"/>
  <c r="N116" i="24"/>
  <c r="L116" i="24"/>
  <c r="J116" i="24"/>
  <c r="N115" i="24"/>
  <c r="M115" i="24"/>
  <c r="L115" i="24"/>
  <c r="K115" i="24"/>
  <c r="J115" i="24"/>
  <c r="J113" i="24"/>
  <c r="N112" i="24"/>
  <c r="M112" i="24"/>
  <c r="L112" i="24"/>
  <c r="J112" i="24" s="1"/>
  <c r="K112" i="24"/>
  <c r="N107" i="24"/>
  <c r="N106" i="24" s="1"/>
  <c r="L107" i="24"/>
  <c r="J107" i="24" s="1"/>
  <c r="M106" i="24"/>
  <c r="L106" i="24"/>
  <c r="J106" i="24" s="1"/>
  <c r="K106" i="24"/>
  <c r="N104" i="24"/>
  <c r="N103" i="24" s="1"/>
  <c r="L104" i="24"/>
  <c r="J104" i="24" s="1"/>
  <c r="M103" i="24"/>
  <c r="L103" i="24"/>
  <c r="J103" i="24" s="1"/>
  <c r="K103" i="24"/>
  <c r="N77" i="24"/>
  <c r="L77" i="24"/>
  <c r="J77" i="24" s="1"/>
  <c r="N76" i="24"/>
  <c r="L76" i="24"/>
  <c r="J76" i="24"/>
  <c r="N75" i="24"/>
  <c r="L75" i="24"/>
  <c r="J75" i="24"/>
  <c r="N74" i="24"/>
  <c r="M74" i="24"/>
  <c r="K74" i="24"/>
  <c r="N72" i="24"/>
  <c r="L72" i="24"/>
  <c r="L70" i="24" s="1"/>
  <c r="J70" i="24" s="1"/>
  <c r="J72" i="24"/>
  <c r="N71" i="24"/>
  <c r="N70" i="24" s="1"/>
  <c r="L71" i="24"/>
  <c r="J71" i="24"/>
  <c r="M70" i="24"/>
  <c r="K70" i="24"/>
  <c r="N69" i="24"/>
  <c r="L69" i="24"/>
  <c r="J69" i="24"/>
  <c r="N68" i="24"/>
  <c r="N67" i="24" s="1"/>
  <c r="L68" i="24"/>
  <c r="J68" i="24" s="1"/>
  <c r="M67" i="24"/>
  <c r="L67" i="24"/>
  <c r="J67" i="24" s="1"/>
  <c r="K67" i="24"/>
  <c r="N64" i="24"/>
  <c r="N63" i="24" s="1"/>
  <c r="L64" i="24"/>
  <c r="J64" i="24" s="1"/>
  <c r="M63" i="24"/>
  <c r="L63" i="24"/>
  <c r="J63" i="24" s="1"/>
  <c r="K63" i="24"/>
  <c r="N61" i="24"/>
  <c r="L61" i="24"/>
  <c r="J61" i="24" s="1"/>
  <c r="N60" i="24"/>
  <c r="L60" i="24"/>
  <c r="J60" i="24"/>
  <c r="N59" i="24"/>
  <c r="L59" i="24"/>
  <c r="J59" i="24"/>
  <c r="N58" i="24"/>
  <c r="L58" i="24"/>
  <c r="J58" i="24"/>
  <c r="N57" i="24"/>
  <c r="N56" i="24" s="1"/>
  <c r="L57" i="24"/>
  <c r="L56" i="24" s="1"/>
  <c r="J56" i="24" s="1"/>
  <c r="M56" i="24"/>
  <c r="K56" i="24"/>
  <c r="N54" i="24"/>
  <c r="L54" i="24"/>
  <c r="J54" i="24" s="1"/>
  <c r="N53" i="24"/>
  <c r="L53" i="24"/>
  <c r="J53" i="24"/>
  <c r="N52" i="24"/>
  <c r="L52" i="24"/>
  <c r="J52" i="24"/>
  <c r="J51" i="24"/>
  <c r="N50" i="24"/>
  <c r="L50" i="24"/>
  <c r="J50" i="24"/>
  <c r="N49" i="24"/>
  <c r="M49" i="24"/>
  <c r="K49" i="24"/>
  <c r="N37" i="24"/>
  <c r="L37" i="24"/>
  <c r="J37" i="24"/>
  <c r="N36" i="24"/>
  <c r="L36" i="24"/>
  <c r="J36" i="24"/>
  <c r="N35" i="24"/>
  <c r="L35" i="24"/>
  <c r="L33" i="24" s="1"/>
  <c r="J33" i="24" s="1"/>
  <c r="N34" i="24"/>
  <c r="N33" i="24" s="1"/>
  <c r="L34" i="24"/>
  <c r="J34" i="24"/>
  <c r="M33" i="24"/>
  <c r="K33" i="24"/>
  <c r="N26" i="24"/>
  <c r="L26" i="24"/>
  <c r="J26" i="24"/>
  <c r="N25" i="24"/>
  <c r="L25" i="24"/>
  <c r="J25" i="24" s="1"/>
  <c r="N24" i="24"/>
  <c r="N22" i="24" s="1"/>
  <c r="L24" i="24"/>
  <c r="J24" i="24"/>
  <c r="N23" i="24"/>
  <c r="L23" i="24"/>
  <c r="L22" i="24" s="1"/>
  <c r="J22" i="24" s="1"/>
  <c r="M22" i="24"/>
  <c r="K22" i="24"/>
  <c r="N21" i="24"/>
  <c r="L21" i="24"/>
  <c r="J21" i="24" s="1"/>
  <c r="N20" i="24"/>
  <c r="L20" i="24"/>
  <c r="J20" i="24"/>
  <c r="N19" i="24"/>
  <c r="L19" i="24"/>
  <c r="J19" i="24" s="1"/>
  <c r="N18" i="24"/>
  <c r="N16" i="24" s="1"/>
  <c r="L18" i="24"/>
  <c r="J18" i="24"/>
  <c r="N17" i="24"/>
  <c r="L17" i="24"/>
  <c r="J17" i="24" s="1"/>
  <c r="M16" i="24"/>
  <c r="L16" i="24"/>
  <c r="J16" i="24" s="1"/>
  <c r="K16" i="24"/>
  <c r="N14" i="24"/>
  <c r="L14" i="24"/>
  <c r="J14" i="24" s="1"/>
  <c r="N13" i="24"/>
  <c r="L13" i="24"/>
  <c r="J13" i="24"/>
  <c r="N12" i="24"/>
  <c r="L12" i="24"/>
  <c r="J12" i="24" s="1"/>
  <c r="N11" i="24"/>
  <c r="N10" i="24" s="1"/>
  <c r="L11" i="24"/>
  <c r="J11" i="24"/>
  <c r="M10" i="24"/>
  <c r="K10" i="24"/>
  <c r="L49" i="24" l="1"/>
  <c r="J49" i="24" s="1"/>
  <c r="L74" i="24"/>
  <c r="J74" i="24" s="1"/>
  <c r="L140" i="24"/>
  <c r="J140" i="24" s="1"/>
  <c r="L10" i="24"/>
  <c r="J10" i="24" s="1"/>
  <c r="J23" i="24"/>
  <c r="J35" i="24"/>
  <c r="J57" i="24"/>
  <c r="J131" i="24"/>
  <c r="L152" i="24"/>
  <c r="J152" i="24" s="1"/>
  <c r="L263" i="24" l="1"/>
  <c r="N263" i="24" s="1"/>
  <c r="M8" i="24" l="1"/>
  <c r="L8" i="24" l="1"/>
  <c r="N8" i="24"/>
  <c r="I243" i="24" l="1"/>
  <c r="I242" i="24"/>
  <c r="I238" i="24"/>
  <c r="H180" i="24"/>
  <c r="I180" i="24"/>
  <c r="I78" i="24"/>
  <c r="H78" i="24"/>
  <c r="H74" i="24"/>
  <c r="I74" i="24"/>
  <c r="H70" i="24"/>
  <c r="I70" i="24"/>
  <c r="H67" i="24"/>
  <c r="I67" i="24"/>
  <c r="H63" i="24"/>
  <c r="I63" i="24"/>
  <c r="H49" i="24"/>
  <c r="I49" i="24"/>
  <c r="I46" i="24"/>
  <c r="H46" i="24"/>
  <c r="J279" i="24" l="1"/>
  <c r="J281" i="24" l="1"/>
  <c r="I263" i="24" l="1"/>
  <c r="I235" i="24"/>
  <c r="I234" i="24"/>
  <c r="I231" i="24"/>
  <c r="I230" i="24"/>
  <c r="I229" i="24"/>
  <c r="I228" i="24"/>
  <c r="I227" i="24"/>
  <c r="I226" i="24"/>
  <c r="I208" i="24"/>
  <c r="R208" i="24" s="1"/>
  <c r="H208" i="24"/>
  <c r="Q208" i="24" s="1"/>
  <c r="I209" i="24"/>
  <c r="R209" i="24" s="1"/>
  <c r="H209" i="24"/>
  <c r="Q209" i="24" s="1"/>
  <c r="I202" i="24"/>
  <c r="R202" i="24" s="1"/>
  <c r="H202" i="24"/>
  <c r="Q202" i="24" s="1"/>
  <c r="I203" i="24"/>
  <c r="R203" i="24" s="1"/>
  <c r="H203" i="24"/>
  <c r="I158" i="24"/>
  <c r="I157" i="24"/>
  <c r="I127" i="24"/>
  <c r="H127" i="24"/>
  <c r="Q127" i="24" s="1"/>
  <c r="H128" i="24"/>
  <c r="I128" i="24"/>
  <c r="R129" i="24"/>
  <c r="H57" i="24"/>
  <c r="Q57" i="24" s="1"/>
  <c r="I57" i="24"/>
  <c r="R57" i="24" s="1"/>
  <c r="H58" i="24"/>
  <c r="H56" i="24" s="1"/>
  <c r="I58" i="24"/>
  <c r="H59" i="24"/>
  <c r="I59" i="24"/>
  <c r="H60" i="24"/>
  <c r="I60" i="24"/>
  <c r="H61" i="24"/>
  <c r="I61" i="24"/>
  <c r="I44" i="24"/>
  <c r="H44" i="24"/>
  <c r="H28" i="24"/>
  <c r="H39" i="24"/>
  <c r="I24" i="24"/>
  <c r="I25" i="24"/>
  <c r="I26" i="24"/>
  <c r="I29" i="24"/>
  <c r="I28" i="24" s="1"/>
  <c r="I30" i="24"/>
  <c r="I31" i="24"/>
  <c r="I32" i="24"/>
  <c r="I34" i="24"/>
  <c r="I33" i="24" s="1"/>
  <c r="I35" i="24"/>
  <c r="I36" i="24"/>
  <c r="I37" i="24"/>
  <c r="I40" i="24"/>
  <c r="I39" i="24" s="1"/>
  <c r="I41" i="24"/>
  <c r="I42" i="24"/>
  <c r="I43" i="24"/>
  <c r="H25" i="24"/>
  <c r="H26" i="24"/>
  <c r="H29" i="24"/>
  <c r="H30" i="24"/>
  <c r="H31" i="24"/>
  <c r="H32" i="24"/>
  <c r="H34" i="24"/>
  <c r="H33" i="24" s="1"/>
  <c r="H35" i="24"/>
  <c r="H36" i="24"/>
  <c r="H37" i="24"/>
  <c r="H40" i="24"/>
  <c r="H41" i="24"/>
  <c r="H42" i="24"/>
  <c r="H43" i="24"/>
  <c r="H11" i="24"/>
  <c r="H10" i="24" s="1"/>
  <c r="H8" i="24" s="1"/>
  <c r="I11" i="24"/>
  <c r="I10" i="24" s="1"/>
  <c r="H12" i="24"/>
  <c r="I12" i="24"/>
  <c r="H13" i="24"/>
  <c r="I13" i="24"/>
  <c r="H14" i="24"/>
  <c r="I14" i="24"/>
  <c r="H17" i="24"/>
  <c r="I17" i="24"/>
  <c r="I16" i="24" s="1"/>
  <c r="H18" i="24"/>
  <c r="H16" i="24" s="1"/>
  <c r="I18" i="24"/>
  <c r="H19" i="24"/>
  <c r="I19" i="24"/>
  <c r="H20" i="24"/>
  <c r="I20" i="24"/>
  <c r="H21" i="24"/>
  <c r="I21" i="24"/>
  <c r="H23" i="24"/>
  <c r="H22" i="24" s="1"/>
  <c r="I23" i="24"/>
  <c r="I22" i="24" s="1"/>
  <c r="H24" i="24"/>
  <c r="G152" i="24"/>
  <c r="G150" i="24"/>
  <c r="G147" i="24"/>
  <c r="G145" i="24"/>
  <c r="G140" i="24"/>
  <c r="G134" i="24"/>
  <c r="G129" i="24"/>
  <c r="G127" i="24"/>
  <c r="G122" i="24"/>
  <c r="G119" i="24"/>
  <c r="G117" i="24"/>
  <c r="G115" i="24"/>
  <c r="G112" i="24"/>
  <c r="G106" i="24"/>
  <c r="G103" i="24"/>
  <c r="G100" i="24"/>
  <c r="G94" i="24"/>
  <c r="G92" i="24"/>
  <c r="G86" i="24"/>
  <c r="G81" i="24"/>
  <c r="G78" i="24"/>
  <c r="G74" i="24"/>
  <c r="G70" i="24"/>
  <c r="G67" i="24"/>
  <c r="G63" i="24"/>
  <c r="G56" i="24"/>
  <c r="G49" i="24"/>
  <c r="G46" i="24"/>
  <c r="G44" i="24"/>
  <c r="G39" i="24"/>
  <c r="G33" i="24"/>
  <c r="G28" i="24"/>
  <c r="G22" i="24"/>
  <c r="G16" i="24"/>
  <c r="F152" i="24"/>
  <c r="F150" i="24"/>
  <c r="F147" i="24"/>
  <c r="F140" i="24"/>
  <c r="F134" i="24"/>
  <c r="F129" i="24"/>
  <c r="F127" i="24"/>
  <c r="F122" i="24"/>
  <c r="F115" i="24"/>
  <c r="F112" i="24"/>
  <c r="F106" i="24"/>
  <c r="F103" i="24"/>
  <c r="F100" i="24"/>
  <c r="F94" i="24"/>
  <c r="F92" i="24"/>
  <c r="F86" i="24"/>
  <c r="F81" i="24"/>
  <c r="F78" i="24"/>
  <c r="F74" i="24"/>
  <c r="F70" i="24"/>
  <c r="F67" i="24"/>
  <c r="F63" i="24"/>
  <c r="F56" i="24"/>
  <c r="F49" i="24"/>
  <c r="F46" i="24"/>
  <c r="F44" i="24"/>
  <c r="F39" i="24"/>
  <c r="F33" i="24"/>
  <c r="F28" i="24"/>
  <c r="F22" i="24"/>
  <c r="F16" i="24"/>
  <c r="F10" i="24"/>
  <c r="G289" i="24"/>
  <c r="G288" i="24"/>
  <c r="G287" i="24"/>
  <c r="Q281" i="24"/>
  <c r="R281" i="24"/>
  <c r="T281" i="24"/>
  <c r="Q282" i="24"/>
  <c r="R282" i="24"/>
  <c r="T282" i="24"/>
  <c r="N275" i="24"/>
  <c r="L275" i="24"/>
  <c r="I275" i="24"/>
  <c r="D12" i="1" s="1"/>
  <c r="Q268" i="24"/>
  <c r="R268" i="24"/>
  <c r="T268" i="24"/>
  <c r="Q269" i="24"/>
  <c r="R269" i="24"/>
  <c r="T269" i="24"/>
  <c r="Q270" i="24"/>
  <c r="R270" i="24"/>
  <c r="T270" i="24"/>
  <c r="Q271" i="24"/>
  <c r="R271" i="24"/>
  <c r="T271" i="24"/>
  <c r="Q272" i="24"/>
  <c r="R272" i="24"/>
  <c r="T272" i="24"/>
  <c r="Q273" i="24"/>
  <c r="R273" i="24"/>
  <c r="T273" i="24"/>
  <c r="Q274" i="24"/>
  <c r="R274" i="24"/>
  <c r="T274" i="24"/>
  <c r="G274" i="24"/>
  <c r="G273" i="24"/>
  <c r="G272" i="24"/>
  <c r="G271" i="24"/>
  <c r="G270" i="24"/>
  <c r="G269" i="24"/>
  <c r="G268" i="24"/>
  <c r="G275" i="24" s="1"/>
  <c r="G267" i="24"/>
  <c r="G263" i="24"/>
  <c r="N261" i="24"/>
  <c r="I261" i="24"/>
  <c r="G261" i="24"/>
  <c r="Q258" i="24"/>
  <c r="Q259" i="24"/>
  <c r="Q260" i="24"/>
  <c r="R260" i="24"/>
  <c r="T260" i="24"/>
  <c r="G253" i="24"/>
  <c r="N222" i="24"/>
  <c r="L222" i="24"/>
  <c r="F231" i="24"/>
  <c r="G231" i="24" s="1"/>
  <c r="G230" i="24"/>
  <c r="G229" i="24"/>
  <c r="G228" i="24"/>
  <c r="G227" i="24"/>
  <c r="G226" i="24"/>
  <c r="I236" i="24"/>
  <c r="L236" i="24"/>
  <c r="N236" i="24"/>
  <c r="I239" i="24"/>
  <c r="L239" i="24"/>
  <c r="N239" i="24"/>
  <c r="Q218" i="24"/>
  <c r="R218" i="24"/>
  <c r="Q219" i="24"/>
  <c r="R219" i="24"/>
  <c r="Q220" i="24"/>
  <c r="R220" i="24"/>
  <c r="Q221" i="24"/>
  <c r="R221" i="24"/>
  <c r="E221" i="24"/>
  <c r="T221" i="24" s="1"/>
  <c r="E220" i="24"/>
  <c r="T220" i="24" s="1"/>
  <c r="E219" i="24"/>
  <c r="T219" i="24" s="1"/>
  <c r="E218" i="24"/>
  <c r="T218" i="24" s="1"/>
  <c r="Q210" i="24"/>
  <c r="R210" i="24"/>
  <c r="Q211" i="24"/>
  <c r="R211" i="24"/>
  <c r="Q212" i="24"/>
  <c r="R212" i="24"/>
  <c r="Q213" i="24"/>
  <c r="R213" i="24"/>
  <c r="Q214" i="24"/>
  <c r="R214" i="24"/>
  <c r="Q215" i="24"/>
  <c r="R215" i="24"/>
  <c r="Q216" i="24"/>
  <c r="R216" i="24"/>
  <c r="Q217" i="24"/>
  <c r="R217" i="24"/>
  <c r="F208" i="24"/>
  <c r="G208" i="24"/>
  <c r="E217" i="24"/>
  <c r="T217" i="24" s="1"/>
  <c r="E216" i="24"/>
  <c r="T216" i="24" s="1"/>
  <c r="E215" i="24"/>
  <c r="T215" i="24" s="1"/>
  <c r="E214" i="24"/>
  <c r="T214" i="24" s="1"/>
  <c r="E213" i="24"/>
  <c r="T213" i="24" s="1"/>
  <c r="E212" i="24"/>
  <c r="T212" i="24" s="1"/>
  <c r="E211" i="24"/>
  <c r="T211" i="24" s="1"/>
  <c r="E210" i="24"/>
  <c r="T210" i="24" s="1"/>
  <c r="E209" i="24"/>
  <c r="T209" i="24" s="1"/>
  <c r="Q203" i="24"/>
  <c r="Q204" i="24"/>
  <c r="R204" i="24"/>
  <c r="Q205" i="24"/>
  <c r="R205" i="24"/>
  <c r="Q206" i="24"/>
  <c r="R206" i="24"/>
  <c r="Q207" i="24"/>
  <c r="R207" i="24"/>
  <c r="F202" i="24"/>
  <c r="G202" i="24"/>
  <c r="E207" i="24"/>
  <c r="T207" i="24" s="1"/>
  <c r="E206" i="24"/>
  <c r="T206" i="24" s="1"/>
  <c r="E205" i="24"/>
  <c r="T205" i="24" s="1"/>
  <c r="E204" i="24"/>
  <c r="T204" i="24" s="1"/>
  <c r="E203" i="24"/>
  <c r="T203" i="24" s="1"/>
  <c r="R201" i="24"/>
  <c r="Q193" i="24"/>
  <c r="R193" i="24"/>
  <c r="R194" i="24"/>
  <c r="Q196" i="24"/>
  <c r="R196" i="24"/>
  <c r="Q198" i="24"/>
  <c r="R198" i="24"/>
  <c r="F199" i="24"/>
  <c r="G199" i="24"/>
  <c r="E201" i="24"/>
  <c r="F191" i="24"/>
  <c r="G191" i="24"/>
  <c r="E198" i="24"/>
  <c r="T198" i="24" s="1"/>
  <c r="E196" i="24"/>
  <c r="T196" i="24" s="1"/>
  <c r="E194" i="24"/>
  <c r="E193" i="24"/>
  <c r="T193" i="24" s="1"/>
  <c r="Q185" i="24"/>
  <c r="R185" i="24"/>
  <c r="Q186" i="24"/>
  <c r="R186" i="24"/>
  <c r="Q187" i="24"/>
  <c r="R187" i="24"/>
  <c r="Q188" i="24"/>
  <c r="R188" i="24"/>
  <c r="Q189" i="24"/>
  <c r="R189" i="24"/>
  <c r="Q190" i="24"/>
  <c r="R190" i="24"/>
  <c r="G184" i="24"/>
  <c r="E184" i="24" s="1"/>
  <c r="F184" i="24"/>
  <c r="E190" i="24"/>
  <c r="T190" i="24" s="1"/>
  <c r="E189" i="24"/>
  <c r="T189" i="24" s="1"/>
  <c r="E188" i="24"/>
  <c r="T188" i="24" s="1"/>
  <c r="E187" i="24"/>
  <c r="T187" i="24" s="1"/>
  <c r="E186" i="24"/>
  <c r="T186" i="24" s="1"/>
  <c r="E185" i="24"/>
  <c r="T185" i="24" s="1"/>
  <c r="Q183" i="24"/>
  <c r="R183" i="24"/>
  <c r="Q181" i="24"/>
  <c r="R181" i="24"/>
  <c r="G180" i="24"/>
  <c r="E183" i="24"/>
  <c r="T183" i="24" s="1"/>
  <c r="E182" i="24"/>
  <c r="E181" i="24"/>
  <c r="T181" i="24" s="1"/>
  <c r="Q17" i="24"/>
  <c r="R17" i="24"/>
  <c r="Q41" i="24"/>
  <c r="R41" i="24"/>
  <c r="R46" i="24"/>
  <c r="Q46" i="24"/>
  <c r="Q69" i="24"/>
  <c r="R69" i="24"/>
  <c r="Q74" i="24"/>
  <c r="R74" i="24"/>
  <c r="Q81" i="24"/>
  <c r="R81" i="24"/>
  <c r="R93" i="24"/>
  <c r="Q93" i="24"/>
  <c r="Q98" i="24"/>
  <c r="R98" i="24"/>
  <c r="Q163" i="24"/>
  <c r="R163" i="24"/>
  <c r="Q164" i="24"/>
  <c r="R164" i="24"/>
  <c r="Q165" i="24"/>
  <c r="R165" i="24"/>
  <c r="Q166" i="24"/>
  <c r="R166" i="24"/>
  <c r="Q167" i="24"/>
  <c r="R167" i="24"/>
  <c r="Q168" i="24"/>
  <c r="R168" i="24"/>
  <c r="Q169" i="24"/>
  <c r="R169" i="24"/>
  <c r="Q171" i="24"/>
  <c r="R171" i="24"/>
  <c r="Q173" i="24"/>
  <c r="R173" i="24"/>
  <c r="Q174" i="24"/>
  <c r="R174" i="24"/>
  <c r="Q175" i="24"/>
  <c r="R175" i="24"/>
  <c r="Q176" i="24"/>
  <c r="R176" i="24"/>
  <c r="Q177" i="24"/>
  <c r="R177" i="24"/>
  <c r="Q179" i="24"/>
  <c r="R179" i="24"/>
  <c r="G159" i="24"/>
  <c r="F159" i="24"/>
  <c r="E179" i="24"/>
  <c r="T179" i="24" s="1"/>
  <c r="E177" i="24"/>
  <c r="T177" i="24" s="1"/>
  <c r="E176" i="24"/>
  <c r="T176" i="24" s="1"/>
  <c r="E175" i="24"/>
  <c r="T175" i="24" s="1"/>
  <c r="E174" i="24"/>
  <c r="T174" i="24" s="1"/>
  <c r="E173" i="24"/>
  <c r="T173" i="24" s="1"/>
  <c r="E171" i="24"/>
  <c r="T171" i="24" s="1"/>
  <c r="E169" i="24"/>
  <c r="T169" i="24" s="1"/>
  <c r="E168" i="24"/>
  <c r="T168" i="24" s="1"/>
  <c r="E167" i="24"/>
  <c r="T167" i="24" s="1"/>
  <c r="E166" i="24"/>
  <c r="T166" i="24" s="1"/>
  <c r="E165" i="24"/>
  <c r="T165" i="24" s="1"/>
  <c r="E164" i="24"/>
  <c r="T164" i="24" s="1"/>
  <c r="E163" i="24"/>
  <c r="T163" i="24" s="1"/>
  <c r="E161" i="24"/>
  <c r="Q117" i="24"/>
  <c r="R117" i="24"/>
  <c r="Q118" i="24"/>
  <c r="R118" i="24"/>
  <c r="Q119" i="24"/>
  <c r="R119" i="24"/>
  <c r="Q120" i="24"/>
  <c r="R120" i="24"/>
  <c r="R122" i="24"/>
  <c r="R123" i="24"/>
  <c r="Q124" i="24"/>
  <c r="R124" i="24"/>
  <c r="Q125" i="24"/>
  <c r="R125" i="24"/>
  <c r="Q126" i="24"/>
  <c r="R126" i="24"/>
  <c r="R127" i="24"/>
  <c r="Q128" i="24"/>
  <c r="R128" i="24"/>
  <c r="Q129" i="24"/>
  <c r="Q130" i="24"/>
  <c r="R130" i="24"/>
  <c r="Q131" i="24"/>
  <c r="R131" i="24"/>
  <c r="Q132" i="24"/>
  <c r="R132" i="24"/>
  <c r="Q133" i="24"/>
  <c r="R133" i="24"/>
  <c r="Q134" i="24"/>
  <c r="R134" i="24"/>
  <c r="Q135" i="24"/>
  <c r="R135" i="24"/>
  <c r="Q136" i="24"/>
  <c r="R136" i="24"/>
  <c r="Q137" i="24"/>
  <c r="R137" i="24"/>
  <c r="Q138" i="24"/>
  <c r="R138" i="24"/>
  <c r="Q140" i="24"/>
  <c r="R140" i="24"/>
  <c r="Q141" i="24"/>
  <c r="R141" i="24"/>
  <c r="Q142" i="24"/>
  <c r="R142" i="24"/>
  <c r="Q143" i="24"/>
  <c r="R143" i="24"/>
  <c r="Q145" i="24"/>
  <c r="R145" i="24"/>
  <c r="Q146" i="24"/>
  <c r="R146" i="24"/>
  <c r="Q147" i="24"/>
  <c r="R147" i="24"/>
  <c r="Q148" i="24"/>
  <c r="R148" i="24"/>
  <c r="Q149" i="24"/>
  <c r="R149" i="24"/>
  <c r="Q150" i="24"/>
  <c r="R150" i="24"/>
  <c r="Q151" i="24"/>
  <c r="R151" i="24"/>
  <c r="Q152" i="24"/>
  <c r="R152" i="24"/>
  <c r="Q153" i="24"/>
  <c r="R153" i="24"/>
  <c r="Q154" i="24"/>
  <c r="R154" i="24"/>
  <c r="Q155" i="24"/>
  <c r="R155" i="24"/>
  <c r="Q156" i="24"/>
  <c r="R156" i="24"/>
  <c r="I56" i="24" l="1"/>
  <c r="I8" i="24" s="1"/>
  <c r="I222" i="24" s="1"/>
  <c r="E191" i="24"/>
  <c r="E208" i="24"/>
  <c r="T208" i="24" s="1"/>
  <c r="E202" i="24"/>
  <c r="T202" i="24" s="1"/>
  <c r="D8" i="1" l="1"/>
  <c r="S222" i="24"/>
  <c r="I8" i="1" s="1"/>
  <c r="I15" i="1" s="1"/>
  <c r="T194" i="24"/>
  <c r="Q194" i="24"/>
  <c r="T201" i="24"/>
  <c r="Q201" i="24"/>
  <c r="E156" i="24"/>
  <c r="T156" i="24" s="1"/>
  <c r="E155" i="24"/>
  <c r="T155" i="24" s="1"/>
  <c r="E154" i="24"/>
  <c r="T154" i="24" s="1"/>
  <c r="E153" i="24"/>
  <c r="T153" i="24" s="1"/>
  <c r="E152" i="24"/>
  <c r="T152" i="24" s="1"/>
  <c r="E151" i="24"/>
  <c r="T151" i="24" s="1"/>
  <c r="E150" i="24"/>
  <c r="T150" i="24" s="1"/>
  <c r="E149" i="24"/>
  <c r="T149" i="24" s="1"/>
  <c r="E148" i="24"/>
  <c r="T148" i="24" s="1"/>
  <c r="E147" i="24"/>
  <c r="T147" i="24" s="1"/>
  <c r="E143" i="24"/>
  <c r="T143" i="24" s="1"/>
  <c r="E142" i="24"/>
  <c r="T142" i="24" s="1"/>
  <c r="E141" i="24"/>
  <c r="T141" i="24" s="1"/>
  <c r="E140" i="24"/>
  <c r="T140" i="24" s="1"/>
  <c r="E138" i="24"/>
  <c r="T138" i="24" s="1"/>
  <c r="E137" i="24"/>
  <c r="T137" i="24" s="1"/>
  <c r="E136" i="24"/>
  <c r="T136" i="24" s="1"/>
  <c r="E135" i="24"/>
  <c r="T135" i="24" s="1"/>
  <c r="E134" i="24"/>
  <c r="T134" i="24" s="1"/>
  <c r="E133" i="24"/>
  <c r="T133" i="24" s="1"/>
  <c r="E132" i="24"/>
  <c r="T132" i="24" s="1"/>
  <c r="E131" i="24"/>
  <c r="T131" i="24" s="1"/>
  <c r="E130" i="24"/>
  <c r="T130" i="24" s="1"/>
  <c r="E129" i="24"/>
  <c r="T129" i="24" s="1"/>
  <c r="E128" i="24"/>
  <c r="T128" i="24" s="1"/>
  <c r="E127" i="24"/>
  <c r="T127" i="24" s="1"/>
  <c r="E126" i="24"/>
  <c r="T126" i="24" s="1"/>
  <c r="E125" i="24"/>
  <c r="T125" i="24" s="1"/>
  <c r="E124" i="24"/>
  <c r="T124" i="24" s="1"/>
  <c r="E123" i="24"/>
  <c r="E122" i="24"/>
  <c r="E116" i="24"/>
  <c r="E115" i="24"/>
  <c r="E113" i="24"/>
  <c r="E112" i="24"/>
  <c r="E110" i="24"/>
  <c r="E109" i="24"/>
  <c r="E108" i="24"/>
  <c r="E107" i="24"/>
  <c r="E106" i="24"/>
  <c r="E105" i="24"/>
  <c r="E104" i="24"/>
  <c r="E103" i="24"/>
  <c r="E102" i="24"/>
  <c r="E101" i="24"/>
  <c r="E100" i="24"/>
  <c r="E98" i="24"/>
  <c r="T98" i="24" s="1"/>
  <c r="E97" i="24"/>
  <c r="E96" i="24"/>
  <c r="E95" i="24"/>
  <c r="E94" i="24"/>
  <c r="E93" i="24"/>
  <c r="T93" i="24" s="1"/>
  <c r="E92" i="24"/>
  <c r="E91" i="24"/>
  <c r="E90" i="24"/>
  <c r="E89" i="24"/>
  <c r="E88" i="24"/>
  <c r="E87" i="24"/>
  <c r="E86" i="24"/>
  <c r="E84" i="24"/>
  <c r="E83" i="24"/>
  <c r="E82" i="24"/>
  <c r="E81" i="24"/>
  <c r="T81" i="24" s="1"/>
  <c r="E80" i="24"/>
  <c r="E79" i="24"/>
  <c r="E78" i="24"/>
  <c r="E77" i="24"/>
  <c r="E76" i="24"/>
  <c r="E75" i="24"/>
  <c r="E74" i="24"/>
  <c r="T74" i="24" s="1"/>
  <c r="E72" i="24"/>
  <c r="E71" i="24"/>
  <c r="E70" i="24"/>
  <c r="E69" i="24"/>
  <c r="T69" i="24" s="1"/>
  <c r="E68" i="24"/>
  <c r="E67" i="24"/>
  <c r="E65" i="24"/>
  <c r="E64" i="24"/>
  <c r="E63" i="24"/>
  <c r="E61" i="24"/>
  <c r="E60" i="24"/>
  <c r="E59" i="24"/>
  <c r="E58" i="24"/>
  <c r="E57" i="24"/>
  <c r="T57" i="24" s="1"/>
  <c r="E56" i="24"/>
  <c r="E54" i="24"/>
  <c r="E53" i="24"/>
  <c r="E52" i="24"/>
  <c r="E51" i="24"/>
  <c r="E50" i="24"/>
  <c r="E49" i="24"/>
  <c r="E47" i="24"/>
  <c r="E46" i="24"/>
  <c r="T46" i="24" s="1"/>
  <c r="E45" i="24"/>
  <c r="E44" i="24"/>
  <c r="E43" i="24"/>
  <c r="E42" i="24"/>
  <c r="E41" i="24"/>
  <c r="T41" i="24" s="1"/>
  <c r="E40" i="24"/>
  <c r="E39" i="24"/>
  <c r="E37" i="24"/>
  <c r="E36" i="24"/>
  <c r="E35" i="24"/>
  <c r="E34" i="24"/>
  <c r="E33" i="24"/>
  <c r="E32" i="24"/>
  <c r="E31" i="24"/>
  <c r="E30" i="24"/>
  <c r="E29" i="24"/>
  <c r="E28" i="24"/>
  <c r="E26" i="24"/>
  <c r="E25" i="24"/>
  <c r="E24" i="24"/>
  <c r="E23" i="24"/>
  <c r="E22" i="24"/>
  <c r="E21" i="24"/>
  <c r="E20" i="24"/>
  <c r="E19" i="24"/>
  <c r="E18" i="24"/>
  <c r="E17" i="24"/>
  <c r="T17" i="24" s="1"/>
  <c r="E16" i="24"/>
  <c r="E14" i="24"/>
  <c r="E13" i="24"/>
  <c r="E12" i="24"/>
  <c r="N285" i="24" l="1"/>
  <c r="Q123" i="24" l="1"/>
  <c r="L285" i="24"/>
  <c r="R284" i="24"/>
  <c r="Q283" i="24"/>
  <c r="Q284" i="24"/>
  <c r="T122" i="24" l="1"/>
  <c r="T123" i="24"/>
  <c r="K8" i="24"/>
  <c r="J8" i="24" s="1"/>
  <c r="Q122" i="24"/>
  <c r="R283" i="24"/>
  <c r="E159" i="24" l="1"/>
  <c r="F180" i="24"/>
  <c r="E199" i="24"/>
  <c r="E180" i="24" l="1"/>
  <c r="Q113" i="24"/>
  <c r="Q115" i="24"/>
  <c r="Q116" i="24"/>
  <c r="Q101" i="24" l="1"/>
  <c r="T88" i="24"/>
  <c r="Q88" i="24"/>
  <c r="Q84" i="24"/>
  <c r="T79" i="24"/>
  <c r="T77" i="24"/>
  <c r="Q75" i="24"/>
  <c r="T70" i="24"/>
  <c r="Q42" i="24"/>
  <c r="Q28" i="24"/>
  <c r="Q18" i="24"/>
  <c r="T16" i="24"/>
  <c r="Q12" i="24"/>
  <c r="T30" i="24"/>
  <c r="T31" i="24"/>
  <c r="T32" i="24"/>
  <c r="T33" i="24"/>
  <c r="T36" i="24"/>
  <c r="T37" i="24"/>
  <c r="T44" i="24"/>
  <c r="T45" i="24"/>
  <c r="T51" i="24"/>
  <c r="T60" i="24"/>
  <c r="T61" i="24"/>
  <c r="T64" i="24"/>
  <c r="T65" i="24"/>
  <c r="T68" i="24"/>
  <c r="T71" i="24"/>
  <c r="T72" i="24"/>
  <c r="T78" i="24"/>
  <c r="T80" i="24"/>
  <c r="T87" i="24"/>
  <c r="T89" i="24"/>
  <c r="T113" i="24"/>
  <c r="T115" i="24"/>
  <c r="T116" i="24"/>
  <c r="Q11" i="24"/>
  <c r="Q13" i="24"/>
  <c r="Q14" i="24"/>
  <c r="T14" i="24"/>
  <c r="Q16" i="24"/>
  <c r="Q19" i="24"/>
  <c r="Q20" i="24"/>
  <c r="Q21" i="24"/>
  <c r="Q22" i="24"/>
  <c r="Q24" i="24"/>
  <c r="T24" i="24"/>
  <c r="Q25" i="24"/>
  <c r="Q26" i="24"/>
  <c r="Q29" i="24"/>
  <c r="Q30" i="24"/>
  <c r="Q31" i="24"/>
  <c r="Q32" i="24"/>
  <c r="Q33" i="24"/>
  <c r="Q34" i="24"/>
  <c r="Q35" i="24"/>
  <c r="Q36" i="24"/>
  <c r="Q37" i="24"/>
  <c r="Q43" i="24"/>
  <c r="Q44" i="24"/>
  <c r="Q45" i="24"/>
  <c r="Q49" i="24"/>
  <c r="Q50" i="24"/>
  <c r="T50" i="24"/>
  <c r="Q51" i="24"/>
  <c r="Q53" i="24"/>
  <c r="Q54" i="24"/>
  <c r="T54" i="24"/>
  <c r="Q56" i="24"/>
  <c r="Q59" i="24"/>
  <c r="Q60" i="24"/>
  <c r="Q61" i="24"/>
  <c r="Q63" i="24"/>
  <c r="Q64" i="24"/>
  <c r="Q65" i="24"/>
  <c r="Q68" i="24"/>
  <c r="Q70" i="24"/>
  <c r="Q71" i="24"/>
  <c r="Q72" i="24"/>
  <c r="Q76" i="24"/>
  <c r="Q77" i="24"/>
  <c r="Q78" i="24"/>
  <c r="Q79" i="24"/>
  <c r="Q80" i="24"/>
  <c r="Q83" i="24"/>
  <c r="Q86" i="24"/>
  <c r="T86" i="24"/>
  <c r="Q87" i="24"/>
  <c r="Q89" i="24"/>
  <c r="Q90" i="24"/>
  <c r="Q91" i="24"/>
  <c r="Q92" i="24"/>
  <c r="Q94" i="24"/>
  <c r="Q95" i="24"/>
  <c r="Q96" i="24"/>
  <c r="Q97" i="24"/>
  <c r="Q100" i="24"/>
  <c r="Q102" i="24"/>
  <c r="Q103" i="24"/>
  <c r="Q104" i="24"/>
  <c r="Q105" i="24"/>
  <c r="Q106" i="24"/>
  <c r="Q107" i="24"/>
  <c r="Q108" i="24"/>
  <c r="Q109" i="24"/>
  <c r="Q110" i="24"/>
  <c r="Q23" i="24" l="1"/>
  <c r="T19" i="24"/>
  <c r="T90" i="24"/>
  <c r="T25" i="24"/>
  <c r="T96" i="24"/>
  <c r="T95" i="24"/>
  <c r="T20" i="24"/>
  <c r="T109" i="24"/>
  <c r="T103" i="24"/>
  <c r="T105" i="24"/>
  <c r="T104" i="24"/>
  <c r="T67" i="24"/>
  <c r="Q52" i="24"/>
  <c r="T56" i="24"/>
  <c r="T23" i="24"/>
  <c r="T110" i="24"/>
  <c r="T83" i="24"/>
  <c r="T101" i="24"/>
  <c r="T102" i="24"/>
  <c r="T49" i="24"/>
  <c r="T108" i="24"/>
  <c r="T94" i="24"/>
  <c r="T97" i="24"/>
  <c r="T84" i="24"/>
  <c r="T82" i="24"/>
  <c r="Q82" i="24"/>
  <c r="Q58" i="24"/>
  <c r="T53" i="24"/>
  <c r="T52" i="24"/>
  <c r="T47" i="24"/>
  <c r="Q47" i="24"/>
  <c r="T26" i="24"/>
  <c r="T22" i="24"/>
  <c r="T21" i="24"/>
  <c r="T18" i="24" l="1"/>
  <c r="Q289" i="24" l="1"/>
  <c r="Q288" i="24"/>
  <c r="Q287" i="24"/>
  <c r="Q280" i="24"/>
  <c r="Q279" i="24"/>
  <c r="Q278" i="24"/>
  <c r="Q267" i="24"/>
  <c r="Q263" i="24"/>
  <c r="Q257" i="24"/>
  <c r="Q253" i="24"/>
  <c r="Q254" i="24"/>
  <c r="Q252" i="24"/>
  <c r="Q248" i="24"/>
  <c r="Q247" i="24"/>
  <c r="Q243" i="24"/>
  <c r="Q242" i="24"/>
  <c r="Q238" i="24"/>
  <c r="Q235" i="24"/>
  <c r="Q234" i="24"/>
  <c r="Q231" i="24"/>
  <c r="Q227" i="24"/>
  <c r="Q228" i="24"/>
  <c r="Q229" i="24"/>
  <c r="Q230" i="24"/>
  <c r="Q226" i="24"/>
  <c r="Q180" i="24" l="1"/>
  <c r="Q161" i="24"/>
  <c r="Q182" i="24"/>
  <c r="Q184" i="24"/>
  <c r="Q191" i="24"/>
  <c r="Q199" i="24"/>
  <c r="Q10" i="24"/>
  <c r="Q112" i="24"/>
  <c r="Q158" i="24"/>
  <c r="Q157" i="24"/>
  <c r="Q159" i="24" l="1"/>
  <c r="T289" i="24" l="1"/>
  <c r="R289" i="24"/>
  <c r="T288" i="24"/>
  <c r="R288" i="24"/>
  <c r="T284" i="24"/>
  <c r="T283" i="24"/>
  <c r="T280" i="24"/>
  <c r="R280" i="24"/>
  <c r="T279" i="24"/>
  <c r="R279" i="24"/>
  <c r="T278" i="24"/>
  <c r="R278" i="24"/>
  <c r="T263" i="24"/>
  <c r="R263" i="24"/>
  <c r="T254" i="24"/>
  <c r="R254" i="24"/>
  <c r="R253" i="24"/>
  <c r="T248" i="24"/>
  <c r="R248" i="24"/>
  <c r="T247" i="24"/>
  <c r="R247" i="24"/>
  <c r="R243" i="24"/>
  <c r="T243" i="24"/>
  <c r="T242" i="24"/>
  <c r="R242" i="24"/>
  <c r="T238" i="24"/>
  <c r="R235" i="24"/>
  <c r="T235" i="24"/>
  <c r="T234" i="24"/>
  <c r="R234" i="24"/>
  <c r="R231" i="24"/>
  <c r="T231" i="24"/>
  <c r="R227" i="24"/>
  <c r="T227" i="24"/>
  <c r="R228" i="24"/>
  <c r="T228" i="24"/>
  <c r="R229" i="24"/>
  <c r="T229" i="24"/>
  <c r="R230" i="24"/>
  <c r="T230" i="24"/>
  <c r="R226" i="24"/>
  <c r="T112" i="24"/>
  <c r="T157" i="24"/>
  <c r="T158" i="24"/>
  <c r="T159" i="24"/>
  <c r="T161" i="24"/>
  <c r="T180" i="24"/>
  <c r="T182" i="24"/>
  <c r="T184" i="24"/>
  <c r="T191" i="24"/>
  <c r="T199" i="24"/>
  <c r="I249" i="24" l="1"/>
  <c r="D10" i="1" s="1"/>
  <c r="L249" i="24"/>
  <c r="N249" i="24"/>
  <c r="R249" i="24"/>
  <c r="G249" i="24"/>
  <c r="R244" i="24"/>
  <c r="N244" i="24"/>
  <c r="L244" i="24"/>
  <c r="I244" i="24"/>
  <c r="G244" i="24"/>
  <c r="G239" i="24"/>
  <c r="R238" i="24" l="1"/>
  <c r="R239" i="24" s="1"/>
  <c r="C12" i="1"/>
  <c r="F12" i="1" l="1"/>
  <c r="I255" i="24"/>
  <c r="I290" i="24"/>
  <c r="D14" i="1" s="1"/>
  <c r="I285" i="24"/>
  <c r="D13" i="1" s="1"/>
  <c r="I264" i="24"/>
  <c r="I265" i="24" l="1"/>
  <c r="D11" i="1" s="1"/>
  <c r="F10" i="1" l="1"/>
  <c r="E10" i="1"/>
  <c r="G10" i="1" s="1"/>
  <c r="C10" i="1"/>
  <c r="F13" i="1" l="1"/>
  <c r="E13" i="1"/>
  <c r="G13" i="1" s="1"/>
  <c r="F8" i="1" l="1"/>
  <c r="E8" i="1"/>
  <c r="R285" i="24" l="1"/>
  <c r="N264" i="24"/>
  <c r="L264" i="24"/>
  <c r="R236" i="24" l="1"/>
  <c r="N255" i="24" l="1"/>
  <c r="N265" i="24" s="1"/>
  <c r="L232" i="24"/>
  <c r="N232" i="24"/>
  <c r="L245" i="24" l="1"/>
  <c r="E9" i="1" s="1"/>
  <c r="F11" i="1"/>
  <c r="N290" i="24" l="1"/>
  <c r="F14" i="1" s="1"/>
  <c r="N245" i="24" l="1"/>
  <c r="F9" i="1" s="1"/>
  <c r="G290" i="24"/>
  <c r="C14" i="1" s="1"/>
  <c r="G264" i="24"/>
  <c r="G236" i="24"/>
  <c r="N291" i="24" l="1"/>
  <c r="F15" i="1"/>
  <c r="H10" i="1" l="1"/>
  <c r="H13" i="1" l="1"/>
  <c r="I232" i="24" l="1"/>
  <c r="I245" i="24" s="1"/>
  <c r="D9" i="1" s="1"/>
  <c r="R232" i="24"/>
  <c r="R245" i="24" s="1"/>
  <c r="G9" i="1" l="1"/>
  <c r="H9" i="1" l="1"/>
  <c r="G285" i="24"/>
  <c r="C13" i="1" s="1"/>
  <c r="T13" i="24" l="1"/>
  <c r="T12" i="24" l="1"/>
  <c r="T28" i="24"/>
  <c r="T29" i="24"/>
  <c r="T35" i="24" l="1"/>
  <c r="T34" i="24"/>
  <c r="Q39" i="24" l="1"/>
  <c r="Q40" i="24"/>
  <c r="T39" i="24"/>
  <c r="T40" i="24" l="1"/>
  <c r="T43" i="24"/>
  <c r="T42" i="24"/>
  <c r="T59" i="24"/>
  <c r="T58" i="24"/>
  <c r="T63" i="24"/>
  <c r="Q67" i="24" l="1"/>
  <c r="Q8" i="24"/>
  <c r="T76" i="24"/>
  <c r="T75" i="24"/>
  <c r="T92" i="24"/>
  <c r="T91" i="24"/>
  <c r="T100" i="24"/>
  <c r="T107" i="24"/>
  <c r="T106" i="24"/>
  <c r="T226" i="24" l="1"/>
  <c r="G232" i="24"/>
  <c r="G245" i="24" s="1"/>
  <c r="C9" i="1" l="1"/>
  <c r="T253" i="24"/>
  <c r="G255" i="24"/>
  <c r="G265" i="24" s="1"/>
  <c r="R13" i="24"/>
  <c r="R23" i="24"/>
  <c r="R33" i="24"/>
  <c r="R43" i="24"/>
  <c r="R51" i="24"/>
  <c r="R65" i="24"/>
  <c r="R86" i="24"/>
  <c r="R102" i="24"/>
  <c r="R158" i="24"/>
  <c r="R14" i="24"/>
  <c r="R30" i="24"/>
  <c r="R50" i="24"/>
  <c r="R68" i="24"/>
  <c r="R84" i="24"/>
  <c r="R100" i="24"/>
  <c r="R116" i="24"/>
  <c r="R191" i="24"/>
  <c r="R61" i="24"/>
  <c r="R109" i="24"/>
  <c r="R20" i="24"/>
  <c r="R36" i="24"/>
  <c r="R52" i="24"/>
  <c r="R67" i="24"/>
  <c r="R83" i="24"/>
  <c r="R115" i="24"/>
  <c r="R180" i="24"/>
  <c r="R110" i="24"/>
  <c r="R106" i="24"/>
  <c r="R94" i="24"/>
  <c r="R90" i="24"/>
  <c r="R82" i="24"/>
  <c r="R78" i="24"/>
  <c r="R70" i="24"/>
  <c r="R58" i="24"/>
  <c r="R54" i="24"/>
  <c r="R42" i="24"/>
  <c r="R34" i="24"/>
  <c r="R26" i="24"/>
  <c r="R22" i="24"/>
  <c r="R18" i="24"/>
  <c r="R29" i="24"/>
  <c r="R21" i="24"/>
  <c r="R19" i="24"/>
  <c r="R37" i="24"/>
  <c r="R76" i="24"/>
  <c r="R108" i="24"/>
  <c r="R92" i="24"/>
  <c r="R25" i="24"/>
  <c r="R35" i="24"/>
  <c r="R45" i="24"/>
  <c r="R53" i="24"/>
  <c r="R89" i="24"/>
  <c r="R105" i="24"/>
  <c r="R161" i="24"/>
  <c r="R71" i="24"/>
  <c r="R87" i="24"/>
  <c r="R103" i="24"/>
  <c r="R159" i="24"/>
  <c r="R24" i="24"/>
  <c r="R40" i="24"/>
  <c r="R56" i="24"/>
  <c r="R72" i="24"/>
  <c r="R88" i="24"/>
  <c r="R104" i="24"/>
  <c r="R199" i="24"/>
  <c r="R157" i="24"/>
  <c r="R113" i="24"/>
  <c r="R101" i="24"/>
  <c r="R97" i="24"/>
  <c r="R77" i="24"/>
  <c r="R49" i="24"/>
  <c r="R47" i="24"/>
  <c r="R60" i="24"/>
  <c r="R182" i="24"/>
  <c r="R12" i="24"/>
  <c r="R28" i="24"/>
  <c r="R44" i="24"/>
  <c r="R59" i="24"/>
  <c r="R75" i="24"/>
  <c r="R91" i="24"/>
  <c r="R107" i="24"/>
  <c r="R184" i="24"/>
  <c r="R112" i="24"/>
  <c r="R96" i="24"/>
  <c r="R11" i="24"/>
  <c r="R10" i="24"/>
  <c r="R63" i="24"/>
  <c r="R64" i="24"/>
  <c r="R79" i="24"/>
  <c r="R39" i="24"/>
  <c r="R31" i="24"/>
  <c r="R16" i="24"/>
  <c r="R80" i="24"/>
  <c r="R32" i="24"/>
  <c r="R95" i="24"/>
  <c r="C11" i="1" l="1"/>
  <c r="R8" i="24" l="1"/>
  <c r="R222" i="24" s="1"/>
  <c r="I291" i="24" l="1"/>
  <c r="S291" i="24" s="1"/>
  <c r="G8" i="1" l="1"/>
  <c r="D15" i="1"/>
  <c r="H8" i="1"/>
  <c r="T267" i="24"/>
  <c r="R267" i="24"/>
  <c r="R275" i="24" s="1"/>
  <c r="E12" i="1" l="1"/>
  <c r="G12" i="1" s="1"/>
  <c r="H12" i="1" l="1"/>
  <c r="T252" i="24"/>
  <c r="R252" i="24"/>
  <c r="R255" i="24" s="1"/>
  <c r="L255" i="24"/>
  <c r="T287" i="24" l="1"/>
  <c r="R287" i="24"/>
  <c r="L290" i="24"/>
  <c r="R290" i="24" l="1"/>
  <c r="E14" i="1"/>
  <c r="H14" i="1" l="1"/>
  <c r="G14" i="1"/>
  <c r="F117" i="24"/>
  <c r="E117" i="24" s="1"/>
  <c r="T117" i="24" s="1"/>
  <c r="E118" i="24"/>
  <c r="T118" i="24" s="1"/>
  <c r="F119" i="24"/>
  <c r="E119" i="24" s="1"/>
  <c r="T119" i="24" s="1"/>
  <c r="E120" i="24"/>
  <c r="T120" i="24" s="1"/>
  <c r="E146" i="24"/>
  <c r="T146" i="24" s="1"/>
  <c r="F8" i="24"/>
  <c r="F145" i="24"/>
  <c r="E145" i="24"/>
  <c r="T145" i="24" s="1"/>
  <c r="G10" i="24"/>
  <c r="G8" i="24" s="1"/>
  <c r="E11" i="24"/>
  <c r="T11" i="24" s="1"/>
  <c r="E10" i="24" l="1"/>
  <c r="T10" i="24" s="1"/>
  <c r="E8" i="24"/>
  <c r="T8" i="24" s="1"/>
  <c r="G222" i="24"/>
  <c r="G291" i="24" l="1"/>
  <c r="C8" i="1"/>
  <c r="C15" i="1" s="1"/>
  <c r="R259" i="24"/>
  <c r="R265" i="24" s="1"/>
  <c r="T259" i="24"/>
  <c r="R258" i="24"/>
  <c r="T258" i="24"/>
  <c r="L261" i="24"/>
  <c r="L265" i="24"/>
  <c r="E11" i="1" s="1"/>
  <c r="T257" i="24"/>
  <c r="R257" i="24"/>
  <c r="G11" i="1" l="1"/>
  <c r="E15" i="1"/>
  <c r="G15" i="1" s="1"/>
  <c r="H11" i="1"/>
  <c r="H15" i="1" s="1"/>
  <c r="L291" i="24"/>
  <c r="R291" i="24" s="1"/>
</calcChain>
</file>

<file path=xl/comments1.xml><?xml version="1.0" encoding="utf-8"?>
<comments xmlns="http://schemas.openxmlformats.org/spreadsheetml/2006/main">
  <authors>
    <author>Oksana Lysak</author>
  </authors>
  <commentList>
    <comment ref="F289" authorId="0" shapeId="0">
      <text>
        <r>
          <rPr>
            <b/>
            <sz val="9"/>
            <color indexed="81"/>
            <rFont val="Tahoma"/>
            <family val="2"/>
            <charset val="204"/>
          </rPr>
          <t>Oksana Lysak:</t>
        </r>
        <r>
          <rPr>
            <sz val="9"/>
            <color indexed="81"/>
            <rFont val="Tahoma"/>
            <family val="2"/>
            <charset val="204"/>
          </rPr>
          <t xml:space="preserve">
Для бригад Служби ліній</t>
        </r>
      </text>
    </comment>
    <comment ref="H289" authorId="0" shapeId="0">
      <text>
        <r>
          <rPr>
            <b/>
            <sz val="9"/>
            <color indexed="81"/>
            <rFont val="Tahoma"/>
            <family val="2"/>
            <charset val="204"/>
          </rPr>
          <t>Oksana Lysak:</t>
        </r>
        <r>
          <rPr>
            <sz val="9"/>
            <color indexed="81"/>
            <rFont val="Tahoma"/>
            <family val="2"/>
            <charset val="204"/>
          </rPr>
          <t xml:space="preserve">
Для бригад Служби ліній</t>
        </r>
      </text>
    </comment>
  </commentList>
</comments>
</file>

<file path=xl/sharedStrings.xml><?xml version="1.0" encoding="utf-8"?>
<sst xmlns="http://schemas.openxmlformats.org/spreadsheetml/2006/main" count="1175" uniqueCount="442">
  <si>
    <t>№ з/п</t>
  </si>
  <si>
    <t>Впровадження та розвиток інформаційних технологій</t>
  </si>
  <si>
    <t>Інше</t>
  </si>
  <si>
    <t>Виконавець робіт, послуг, продавець товару, визначено на тендері чи без</t>
  </si>
  <si>
    <t>Одиниця виміру</t>
  </si>
  <si>
    <t>Усього</t>
  </si>
  <si>
    <t>Різниця між фактичною вартістю одиниці продукції та плановою, %</t>
  </si>
  <si>
    <t>з</t>
  </si>
  <si>
    <t>Залишилось не профінансовано</t>
  </si>
  <si>
    <t>Відсоток фінансування</t>
  </si>
  <si>
    <t>до</t>
  </si>
  <si>
    <t>Заходи зі зниження нетехнічних витрат електричної енергії</t>
  </si>
  <si>
    <t>Впровадження та розвиток систем зв'язку</t>
  </si>
  <si>
    <t>Звіт щодо виконання інвестиційної програми</t>
  </si>
  <si>
    <t>Звітний період</t>
  </si>
  <si>
    <t>Прогнозний період</t>
  </si>
  <si>
    <t>Найменування ліцензіата</t>
  </si>
  <si>
    <t>(прізвище, ім'я, по батькові)</t>
  </si>
  <si>
    <t>Цільові програми</t>
  </si>
  <si>
    <t>профінансовано</t>
  </si>
  <si>
    <t>освоєно</t>
  </si>
  <si>
    <t>джерело фінансування</t>
  </si>
  <si>
    <t>Найменування заходів інвестиційної програми</t>
  </si>
  <si>
    <t>Усього по розділу 1:</t>
  </si>
  <si>
    <t>Усього по розділу 2:</t>
  </si>
  <si>
    <t>2. Заходи зі зниження нетехнічних витрат електричної енергії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</si>
  <si>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</si>
  <si>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</si>
  <si>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</si>
  <si>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</si>
  <si>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</si>
  <si>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</si>
  <si>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Усього по розділу 6:</t>
  </si>
  <si>
    <t>7. Інше</t>
  </si>
  <si>
    <t>Усього по розділу 7:</t>
  </si>
  <si>
    <t>Впровадження та розвиток автоматизованих систем диспетчерсько-технологічного керування (АСДТК)</t>
  </si>
  <si>
    <t>км</t>
  </si>
  <si>
    <t>шт</t>
  </si>
  <si>
    <t xml:space="preserve">Витрати на виніс 1-фазних лічильників власними силами на фасад будинків </t>
  </si>
  <si>
    <t>Закупівля нових робочих станцій</t>
  </si>
  <si>
    <t>Закупівля програмного забезпечення, у т.ч.:</t>
  </si>
  <si>
    <t>Реконструкція/технічне переоснащення ПЛ-0,4 кВ самоутримним ізольованим проводом</t>
  </si>
  <si>
    <t xml:space="preserve">Витрати на виніс 3-фазних лічильників власними силами на фасад будинків </t>
  </si>
  <si>
    <t>Ліцензування програмного забезпечення Microsoft</t>
  </si>
  <si>
    <t>Залишилось не профінансовано,
тис. грн (без ПДВ)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</si>
  <si>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</si>
  <si>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</si>
  <si>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 xml:space="preserve">  М. П. </t>
  </si>
  <si>
    <t>Закупівля нового мережевого обладнання</t>
  </si>
  <si>
    <t>Виконано</t>
  </si>
  <si>
    <t>Причини невико-нання плану</t>
  </si>
  <si>
    <t>кількість</t>
  </si>
  <si>
    <t>вартість, тис. грн</t>
  </si>
  <si>
    <t xml:space="preserve"> кількість</t>
  </si>
  <si>
    <t>Всього:</t>
  </si>
  <si>
    <t>Заміна приладів обліку власними силами</t>
  </si>
  <si>
    <t>Спецмеханізми</t>
  </si>
  <si>
    <t>Усього по програмі</t>
  </si>
  <si>
    <t>Впровадження обліку споживання електричної енергії населенням:</t>
  </si>
  <si>
    <t>Впровадження обліку споживання електричної енергії населенню:</t>
  </si>
  <si>
    <t>2.1.1</t>
  </si>
  <si>
    <t>2.1.2</t>
  </si>
  <si>
    <t>2.1.3</t>
  </si>
  <si>
    <t>2.1.4</t>
  </si>
  <si>
    <t>2.1.5</t>
  </si>
  <si>
    <t>3-ф прилад обліку для зведення балансу</t>
  </si>
  <si>
    <t>2.1.6</t>
  </si>
  <si>
    <t>ПрАТ "Рівнеобленерго"</t>
  </si>
  <si>
    <t>Заміна однофазних відгалужень до житлових будинків на ізольовані</t>
  </si>
  <si>
    <t>Заміна трифазних відгалужень до житлових будинків на ізольовані</t>
  </si>
  <si>
    <t>питома вартість,
тис. грн
без ПДВ</t>
  </si>
  <si>
    <t>загальна вартість, тис. грн</t>
  </si>
  <si>
    <t>Реактивна е/е</t>
  </si>
  <si>
    <t>Реконструкція/будівництво КЛ-6-10кВ:</t>
  </si>
  <si>
    <t xml:space="preserve">1-ф багатотарифний лічильник з модулем дистанційного зчитування (типу -СМАРТ) </t>
  </si>
  <si>
    <t xml:space="preserve">3-ф багатотарифний лічильник з модулем дистанційного зчитування (типу -СМАРТ) </t>
  </si>
  <si>
    <t>маршрутизатор для однотрансформаторної підстанції</t>
  </si>
  <si>
    <t>маршрутизатор для двотрансформаторної підстанції</t>
  </si>
  <si>
    <t xml:space="preserve">трансформатори струму </t>
  </si>
  <si>
    <t>4.1</t>
  </si>
  <si>
    <t>4.2</t>
  </si>
  <si>
    <t>4.3</t>
  </si>
  <si>
    <t>4.4</t>
  </si>
  <si>
    <t>шт.</t>
  </si>
  <si>
    <t>Березнівський РЕМ</t>
  </si>
  <si>
    <t>Володимирецький РЕМ</t>
  </si>
  <si>
    <t>Дубенський РЕМ</t>
  </si>
  <si>
    <t>Здолбунівський РЕМ</t>
  </si>
  <si>
    <t>Костопільський РЕМ</t>
  </si>
  <si>
    <t>Млинівський РЕМ</t>
  </si>
  <si>
    <t>Рівненський міський РЕМ</t>
  </si>
  <si>
    <t>Рівненський РЕМ</t>
  </si>
  <si>
    <t>Сарненський РЕМ</t>
  </si>
  <si>
    <t>1.5.1</t>
  </si>
  <si>
    <t>1.4.1</t>
  </si>
  <si>
    <t>Амортизація</t>
  </si>
  <si>
    <t xml:space="preserve"> </t>
  </si>
  <si>
    <t>1.1</t>
  </si>
  <si>
    <t>1,1.1</t>
  </si>
  <si>
    <t>1,1.2</t>
  </si>
  <si>
    <t>1,1.3</t>
  </si>
  <si>
    <t>1,1.4</t>
  </si>
  <si>
    <t>Гощанський РЕМ</t>
  </si>
  <si>
    <t>1,1.5</t>
  </si>
  <si>
    <t>1,1,6</t>
  </si>
  <si>
    <t>1,1,7</t>
  </si>
  <si>
    <t>1,1,8</t>
  </si>
  <si>
    <t>Зарічненський РЕМ</t>
  </si>
  <si>
    <t>1,1,9</t>
  </si>
  <si>
    <t>1,1,10</t>
  </si>
  <si>
    <t>1,1,11</t>
  </si>
  <si>
    <t>1,1,12</t>
  </si>
  <si>
    <t>1,1,13</t>
  </si>
  <si>
    <t>1,1,14</t>
  </si>
  <si>
    <t>1,1,15</t>
  </si>
  <si>
    <t>1,1,16</t>
  </si>
  <si>
    <t>1,1,17</t>
  </si>
  <si>
    <t>1,1,18</t>
  </si>
  <si>
    <t>1,1,19</t>
  </si>
  <si>
    <t>1,1,20</t>
  </si>
  <si>
    <t>1,1,21</t>
  </si>
  <si>
    <t>1,1,22</t>
  </si>
  <si>
    <t>1,1,23</t>
  </si>
  <si>
    <t>1,1,24</t>
  </si>
  <si>
    <t>1,1,25</t>
  </si>
  <si>
    <t>1,1,26</t>
  </si>
  <si>
    <t>1,1,27</t>
  </si>
  <si>
    <t>1.2</t>
  </si>
  <si>
    <t>1.3</t>
  </si>
  <si>
    <t>1.4</t>
  </si>
  <si>
    <t>Реконструкція РП-10/0,4кВ</t>
  </si>
  <si>
    <t>1.5</t>
  </si>
  <si>
    <t>Корецький РЕМ</t>
  </si>
  <si>
    <t>1.6</t>
  </si>
  <si>
    <t>Встановлення реклоузерів на ПЛ-10кВ із влаштуванням телемеханіки</t>
  </si>
  <si>
    <t>1.6.1</t>
  </si>
  <si>
    <t>1.6.2</t>
  </si>
  <si>
    <t>1.6.3</t>
  </si>
  <si>
    <t>1.7</t>
  </si>
  <si>
    <t>1.8</t>
  </si>
  <si>
    <t>Заміна приладів обліку класу 2,5 власними силами:</t>
  </si>
  <si>
    <t xml:space="preserve">Заміна 1-фазних лічильників  </t>
  </si>
  <si>
    <t xml:space="preserve">Встановлення балансних лічильників на ТП-10/0,4кВ: </t>
  </si>
  <si>
    <t>Встановлення балансних лічильників на ТП-10/0,4кВ</t>
  </si>
  <si>
    <t>2,5,1</t>
  </si>
  <si>
    <t xml:space="preserve">3-ф багатотарифний лічильник з модулем дистанційного зчитування (з GSM-модулем) прямого включення </t>
  </si>
  <si>
    <t>2,5,2</t>
  </si>
  <si>
    <t xml:space="preserve">3-ф багатотарифний лічильник з модулем дистанційного зчитування (з GSM-модулем) трансформаторного включення </t>
  </si>
  <si>
    <t>7.1</t>
  </si>
  <si>
    <t>7.2</t>
  </si>
  <si>
    <t>7.3</t>
  </si>
  <si>
    <t>ПЛІ-0,4кВ</t>
  </si>
  <si>
    <t>ПЛ-10кВ</t>
  </si>
  <si>
    <t>Встановлення розвантажувального ЩТП-40 кВА</t>
  </si>
  <si>
    <t>КЛ-10кВ</t>
  </si>
  <si>
    <t>1</t>
  </si>
  <si>
    <t>Прибуток</t>
  </si>
  <si>
    <t>Невмержицький С.М.</t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</si>
  <si>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2021 рік</t>
    </r>
    <r>
      <rPr>
        <sz val="11"/>
        <rFont val="Times New Roman"/>
        <family val="1"/>
        <charset val="204"/>
      </rPr>
      <t>, тис. грн (без ПДВ)</t>
    </r>
  </si>
  <si>
    <t>Заплановано на 2021 рік</t>
  </si>
  <si>
    <t>ПЛ-0,4кВ від ТП-150 в с.Малинськ</t>
  </si>
  <si>
    <t>Встановлення розвантажувальних ЩТП-40кВА</t>
  </si>
  <si>
    <t>Заміна існ. тр-ра (160 на 100 кВА)</t>
  </si>
  <si>
    <t>ПЛ-0,4 кВ від ТП-129 в с.Хиночі</t>
  </si>
  <si>
    <t>Встановлення розвантажувального ЩТП-63кВА</t>
  </si>
  <si>
    <t>Встановлення розвантажувального ЩТП-40кВА</t>
  </si>
  <si>
    <t>заміна існуючої ТП (160 на 63 кВА)</t>
  </si>
  <si>
    <t>ПЛ-0,4 кВ від ТП-70 в с.Нетреба</t>
  </si>
  <si>
    <t>Заміна існуючого тр-ра (160 на 63 кВА)</t>
  </si>
  <si>
    <t>ПЛ-0,4кВ від ТП-86 смт. Гоща</t>
  </si>
  <si>
    <t>демонтаж існуючого КТП-86 100кВА</t>
  </si>
  <si>
    <t>ПЛ-0,4 кВ від КТП-67 в с. Федорівка</t>
  </si>
  <si>
    <t>Встановлення розвантажувальних ЩТП-25кВА</t>
  </si>
  <si>
    <t>Заміна існ. тр-ра з 160 на 25 кВа</t>
  </si>
  <si>
    <t>ПЛ-0,4кВ від ТП-217 в с. Микитичі</t>
  </si>
  <si>
    <t>ЩТП-25кВа розвантажувальне</t>
  </si>
  <si>
    <t>КТП-63кВа розвантажувальне</t>
  </si>
  <si>
    <t>ПЛ-0,4кВ від ТП-298 в с. Привільне</t>
  </si>
  <si>
    <t>ПЛ-0,4 кВ від КТП-417 в с. Привільне</t>
  </si>
  <si>
    <t>Дубровицький РЕМ</t>
  </si>
  <si>
    <t>ПЛ-0,4кВ від ТП-32 в с.Бережки</t>
  </si>
  <si>
    <t>ЩТП-25кВа  встановлення нової</t>
  </si>
  <si>
    <t>ЩТП-40кВа  встановлення нової</t>
  </si>
  <si>
    <t>Заміна існуючого тр-ра (250 кВА на 40 кВА)</t>
  </si>
  <si>
    <t>ПЛ-0,4 кВ від ТП-115 в c.Серники</t>
  </si>
  <si>
    <t>КТП-63 кВа  встановлення нової</t>
  </si>
  <si>
    <t>КТП-40 кВа  встановлення нової</t>
  </si>
  <si>
    <t>Заміна існуючої ТП  (100 кВА на 100кВА)</t>
  </si>
  <si>
    <t>ПЛ-0,4кВ від ЗТП-1 в м.Здолбунів</t>
  </si>
  <si>
    <t>КЛ-0,4кВ</t>
  </si>
  <si>
    <t xml:space="preserve"> ПЛ-0,4кВ від ТП-152 с. Крилів</t>
  </si>
  <si>
    <t>Заміна існ. тр-ра з 63 на 100 кВа</t>
  </si>
  <si>
    <t>ПЛ-0,4кВ від КТП-293 с. Весняне</t>
  </si>
  <si>
    <t>Заміна існ. тр-ра 100 кВа на 100 кВа</t>
  </si>
  <si>
    <t>ПЛ-0,4кВ від ТП-348 в м. Костопіль</t>
  </si>
  <si>
    <t>Встановлення розвантажувальної ТП-100 кВа</t>
  </si>
  <si>
    <t>ПЛ-0,4кВ від ТП-311 в м. Костопіль</t>
  </si>
  <si>
    <t>Заміна існ. тр-ра з 200 на 250 кВА</t>
  </si>
  <si>
    <t>ПЛ-0,4кВ від ТП-315 в м. Костопіль</t>
  </si>
  <si>
    <t>Встановлення розвантажувальних КТТП 400 кВА</t>
  </si>
  <si>
    <t>ПЛ-0,4кВ від ТП-464 в с.Товпижин</t>
  </si>
  <si>
    <t>ЩТП-40кВа розвантажувальне</t>
  </si>
  <si>
    <t>Заміна існуючого тр-ра (100кВА на 40 кВА)</t>
  </si>
  <si>
    <t>ПЛ-0,4кВ від ЗТП-430 в смт.Млинів</t>
  </si>
  <si>
    <t>ПЛ-0,4кВ від КТП-294 с.Острожець</t>
  </si>
  <si>
    <t>Встановлення розвантажувальних ЩТП 25 кВа</t>
  </si>
  <si>
    <t>демонтаж існуючого КТП 63кВА</t>
  </si>
  <si>
    <t>Острозький РЕМ</t>
  </si>
  <si>
    <t>ПЛ-0.4 від КТП-240 в с.Оженіно</t>
  </si>
  <si>
    <t>Заміна існуючого ТП 160кВа на 63кВа</t>
  </si>
  <si>
    <t>ПЛ-0,4 кВ від КТП-16  в с.Черняхів</t>
  </si>
  <si>
    <t>Заміна існуючого ТП 160кВа на 100кВа</t>
  </si>
  <si>
    <t>ПЛ-0,4кВ від КТП-208 в с.Могиляни</t>
  </si>
  <si>
    <t>Встановлення розвантажувальної КТП 63 кВА</t>
  </si>
  <si>
    <t>Заміна існуючого ТП  100кВа на 100кВа</t>
  </si>
  <si>
    <t>Радивилівський РЕМ</t>
  </si>
  <si>
    <t xml:space="preserve">ПЛ-0,4кВ від ТП-166 в с.Пасіки </t>
  </si>
  <si>
    <t>ПЛ-0,4кВ від ТП-300 в м. Рівне</t>
  </si>
  <si>
    <t>ПЛ-0,4кВ від ТП-219 в м.Рівне</t>
  </si>
  <si>
    <t>ПЛ-0,4кВ від ТП-148 в м.Рівне</t>
  </si>
  <si>
    <t xml:space="preserve">ПЛ-0,4 кВ від ТП-278 в c. Переділи </t>
  </si>
  <si>
    <t>Заміна існуючого тр-ра (100квА на 25 кВА)</t>
  </si>
  <si>
    <t xml:space="preserve">ПЛ-0,4 кВ від ТП-172 в c. Козлин </t>
  </si>
  <si>
    <t xml:space="preserve">ПЛ-0,4 кВ від ТП-13 в c. Ю.Новостав </t>
  </si>
  <si>
    <t>ЩТП-10/0,4кВа розвантажувальне 40 кВА</t>
  </si>
  <si>
    <t>заміна тр-ра в існ. КТП 100 кВА на 63 кВА</t>
  </si>
  <si>
    <t xml:space="preserve">ПЛ-0,4 кВ від ТП-27 в c. Сухівці </t>
  </si>
  <si>
    <t>ПЛЗ-10кВ</t>
  </si>
  <si>
    <t>заміна тр-ра в існуючому КТП 100 кВА на 63 кВА</t>
  </si>
  <si>
    <t>Рокитнівський РЕМ</t>
  </si>
  <si>
    <t>ПЛІ-0,4 кВ від ТП-278 в  с.Березове</t>
  </si>
  <si>
    <t>ЩТП-100кВа розвантажувальне</t>
  </si>
  <si>
    <t xml:space="preserve">ПЛ-0,4 кВ від ТП-90 в м. Сарни </t>
  </si>
  <si>
    <t>ПЛ-0,4 кВ від ТП-423 в c.Корост</t>
  </si>
  <si>
    <t>Заміна існ. тр-ра 160 кВа на 160кВа</t>
  </si>
  <si>
    <t>ПЛ-0,4 кВ від ТП-388 в c. Селище</t>
  </si>
  <si>
    <t>ПЛ-0,4 кВ від ТП-427 в c. Корост</t>
  </si>
  <si>
    <t>Встановлення розвантажувальної КТП 160 кВа</t>
  </si>
  <si>
    <t>Заміна існ. тр-ра на 160 кВа на 160кВа</t>
  </si>
  <si>
    <t>1,1,28</t>
  </si>
  <si>
    <t>1,1,29</t>
  </si>
  <si>
    <t>1,1,30</t>
  </si>
  <si>
    <t>1,1,31</t>
  </si>
  <si>
    <t>1,1,32</t>
  </si>
  <si>
    <t>1,1,33</t>
  </si>
  <si>
    <t>1,1,34</t>
  </si>
  <si>
    <t>1,1,35</t>
  </si>
  <si>
    <t>Реактивна е/е 11528,07 Прибуток 69233,35</t>
  </si>
  <si>
    <t xml:space="preserve">Виготовлення ПКД </t>
  </si>
  <si>
    <t xml:space="preserve">Реконструкція ПЛ-0,4кВ від ТП-245 с. Кринички </t>
  </si>
  <si>
    <t>Реконструкція ПЛ-0,4кВ від ТП-515с. Княгинин</t>
  </si>
  <si>
    <t>Реконструкція ПЛ-0,4кВ від ТП-452 с. Перекалі</t>
  </si>
  <si>
    <t>Реконструкція ПЛ-0,4кВ від ТП-159 с. Перекалі</t>
  </si>
  <si>
    <t>Реконструкція ПЛ-0,4кВ від ТП-160 с. Охматків</t>
  </si>
  <si>
    <t>Реконструкція ПЛ-0,4кВ від ТП-161 с. Охматків</t>
  </si>
  <si>
    <t>Реконструкція ПЛ-0,4кВ від КТП-79 с.Малин</t>
  </si>
  <si>
    <t>Реконструкція ПЛ-0,4кВ від КТП-413 с.Малин</t>
  </si>
  <si>
    <t>Реконструкція ПЛ-0,4кВ від ТП-212 в с. Срібне</t>
  </si>
  <si>
    <t>Реконструкція ПЛ-0,4кВ від ТП-872 с. Колоденка</t>
  </si>
  <si>
    <t>Реконструкція ПЛ-0,4кВ від ТП-864 с. Колоденка</t>
  </si>
  <si>
    <t>Реконструкція ПЛ-0,4кВ від ТП-890 с. Колоденка</t>
  </si>
  <si>
    <t>Реконструкція ПЛ-0,4кВ від ТП-868 с. Колоденка</t>
  </si>
  <si>
    <t>Реконструкція ПЛ-0,4кВ від ТП-893 с. Колоденка</t>
  </si>
  <si>
    <t>Реконструкція ПЛ-0,4кВ від ТП-581 с. Чемерне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</si>
  <si>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</si>
  <si>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</si>
  <si>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</si>
  <si>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</si>
  <si>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</si>
  <si>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</si>
  <si>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</si>
  <si>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</si>
  <si>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</si>
  <si>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</si>
  <si>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</si>
  <si>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</si>
  <si>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</si>
  <si>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</si>
  <si>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Реконструкція РП-25 в м. Рівне (модернізація релейного захисту та автоматики)</t>
  </si>
  <si>
    <t>Реконструкція РП-23 в м. Рівне (модернізація релейного захисту та автоматики)</t>
  </si>
  <si>
    <t>Реконструкція РП-8 в м. Рівне</t>
  </si>
  <si>
    <t>1.5.2</t>
  </si>
  <si>
    <t>1.5.3</t>
  </si>
  <si>
    <t>Будівництво/реконструкція ПЛ-6-10кВ:</t>
  </si>
  <si>
    <t>Будівництво ПЛ-10 кВ від оп.237 ПЛ-10 кВ Л-12-08 "Жобрин" до ТП-797 в с.Мочулки, Рівненського району</t>
  </si>
  <si>
    <t>Реконструкція ПЛ-10кВ Л 01-04 "Місто" від оп.94 до оп.101 в м. Радивилів Радивилівського району Рівненської області</t>
  </si>
  <si>
    <t>Реконструкція ПЛ-10кВ Л-49-02 "Біле"з влаштуванням роз'єднувачів вихлопного типу, та реклоузера з телемеханікою</t>
  </si>
  <si>
    <t>Реконструкція ПЛ-10кВ Л-53-04 "Березіно"з влаштуванням роз'єднувачів вихлопного типу, та  реклоузера з телемеханікою</t>
  </si>
  <si>
    <t>Реконструкція ПЛ-10кВ Л-12-05 "Михайлівка"з влаштуванням роз'єднувачів вихлопного типу</t>
  </si>
  <si>
    <t>Реконструкція ПЛ-10кВ Л-53-02 "Мульчиці"з влаштуванням роз'єднувачів вихлопного типу</t>
  </si>
  <si>
    <t>1.6.4</t>
  </si>
  <si>
    <t>1.6.5</t>
  </si>
  <si>
    <t>1.6.6</t>
  </si>
  <si>
    <t>Реконструкція КЛ-10кВ Л.75-16 "На ТП-62" ТП №4 - ТП №62 м. Сарни Рівненської області</t>
  </si>
  <si>
    <t>Реконструкція КЛ-10кВ від ПС 35/10кВ №75 «Льонозавод» КРУН- 10кВ ком№17  «Продтовари» - до ЗТП-79, Сарненського району</t>
  </si>
  <si>
    <t xml:space="preserve">КЛ-10кВ  Л. 06-07 «Насосна станція» в смт.Млинів </t>
  </si>
  <si>
    <t>КЛ-10кВ ЗТП-045 Р-5 ф.73-04 "Місто" в м.Остріг</t>
  </si>
  <si>
    <t>1.7.1</t>
  </si>
  <si>
    <t>1.7.2</t>
  </si>
  <si>
    <t>1.7.3</t>
  </si>
  <si>
    <t>1.7.4</t>
  </si>
  <si>
    <t>Реконструкція КЛ-0,4кВ:</t>
  </si>
  <si>
    <t xml:space="preserve">КЛ-0,4 кВ  Л-3 "Банк" - ЗТП-223 в м.Корець </t>
  </si>
  <si>
    <t>1.8.1</t>
  </si>
  <si>
    <t>1.9.1</t>
  </si>
  <si>
    <t>ПЛ-10кВ Л- "к.15 Тайкури"</t>
  </si>
  <si>
    <t>1.9.2</t>
  </si>
  <si>
    <t xml:space="preserve">ПЛ-10кВ Л-29-01 "Ремчиці" </t>
  </si>
  <si>
    <t>1.9.3</t>
  </si>
  <si>
    <t xml:space="preserve">ПЛ-10кВ Л-12-08 "Жобрин" </t>
  </si>
  <si>
    <t>1.9.4</t>
  </si>
  <si>
    <t>ПЛ-10кВ Л-37-01 "Дермань"</t>
  </si>
  <si>
    <t>1.9.5</t>
  </si>
  <si>
    <t xml:space="preserve">ПЛ-10кВ Л-16-09 "Князівка" </t>
  </si>
  <si>
    <t>Реконструкція ПЛ-10кВ  (влаштування роз'єднувачів вихлопного типу, та індикаторів пошкодження з передачою даних)</t>
  </si>
  <si>
    <t>1.10.1</t>
  </si>
  <si>
    <t>Реконструкція ПЛ-10кВ Л- "к.15 Тайкури"  (влаштування роз'єднувачів вихлопного типу)</t>
  </si>
  <si>
    <t>1.10.2</t>
  </si>
  <si>
    <t>Реконструкція ПЛ-10кВ Л-29-01 "Ремчиці"  (влаштування роз'єднувачів вихлопного типу)</t>
  </si>
  <si>
    <t>1.10.3</t>
  </si>
  <si>
    <t>Реконструкція ПЛ-10кВ Л-121-05 "Городок"  (влаштування роз'єднувачів вихлопного типу)</t>
  </si>
  <si>
    <t>1.10.4</t>
  </si>
  <si>
    <t>Реконструкція ПЛ-10кВ Л-79-17 "Люхча"  (влаштування роз'єднувачів вихлопного типу)</t>
  </si>
  <si>
    <t>1.10.5</t>
  </si>
  <si>
    <t>Реконструкція ПЛ-10кВ Л-122-07 "Кідри"  (влаштування роз'єднувачів вихлопного типу)</t>
  </si>
  <si>
    <t>1.10.6</t>
  </si>
  <si>
    <t>Реконструкція ПЛ-10кВ Л-12-08 "Жобрин"  (влаштування роз'єднувачів вихлопного типу)</t>
  </si>
  <si>
    <t>1.10.7</t>
  </si>
  <si>
    <t>Реконструкція ПЛ-10кВ Л-72-27 "Пісків"  (влаштування роз'єднувачів вихлопного типу)</t>
  </si>
  <si>
    <t>1.10.8</t>
  </si>
  <si>
    <t>Реконструкція ПЛ-10кВ Л-37-01 "Дермань"  (влаштування роз'єднувачів вихлопного типу)</t>
  </si>
  <si>
    <t>1.10.9</t>
  </si>
  <si>
    <t>Реконструкція ПЛ-10кВ Л-16-09 "Князівка"  (влаштування роз'єднувачів вихлопного типу)</t>
  </si>
  <si>
    <t>1.11</t>
  </si>
  <si>
    <t>Реконструкція ПС 110/35/10 кВ "Сарни" №79</t>
  </si>
  <si>
    <t>1.12</t>
  </si>
  <si>
    <t>Заміна СМВ-35кВ, СР1 і СР2 35 на блок СВВ 35, СР1 і СР2 35, ТС 35, та два комплекти ОПН 35 з комплектом захистів на ПС 35/10 "Лютинськ"</t>
  </si>
  <si>
    <t>1.13</t>
  </si>
  <si>
    <t>Заміна МВ-35кВ, ЛР і ШР-35 Блажево на блок ВВ-35, ЛР і ШР 35, ТС 35, ОПН 35 з комплектом захистів на ПС 110/35/10 "Рокитне"</t>
  </si>
  <si>
    <t>1.14</t>
  </si>
  <si>
    <t>Техніко-економічне обгрунтування доцільності встановлення та розрахунок потужності БСК на ПС 110/35/10 "Сарни"</t>
  </si>
  <si>
    <t>Прибуток 31900,20 Небаланс ТВЕ 9088,00 Амортизаія 5560,98</t>
  </si>
  <si>
    <t>Реактивна е/е 1380,00 Амортизація 20878,02</t>
  </si>
  <si>
    <t>Телемеханіка Рівненський міський РЕМ РП-23 (10 кВ)</t>
  </si>
  <si>
    <t>Телемеханіка Рівненський міський РЕМ РП-16 (10 кВ)</t>
  </si>
  <si>
    <t>Реактивна е/е 1400,00 Амортизація 2975,00</t>
  </si>
  <si>
    <t>Реактивна е/е 24,60 Амортизація 404,40</t>
  </si>
  <si>
    <t>Закупівля нових робочих станцій  (або еквівалент)</t>
  </si>
  <si>
    <t>Портативний компютер DELL  (або еквівалент)</t>
  </si>
  <si>
    <t>БФП для середніх робочих груп HP LaserJet мережевий  (або еквівалент)</t>
  </si>
  <si>
    <t xml:space="preserve">Реактивна е/е </t>
  </si>
  <si>
    <t>Дисковий масив HPE 3PAR 8400 з дисками  (або еквівалент)</t>
  </si>
  <si>
    <t>4.5</t>
  </si>
  <si>
    <t>Дискова поличка розширення до HPE 3PAR 8400 з дисками  (або еквівалент)</t>
  </si>
  <si>
    <t>4.6</t>
  </si>
  <si>
    <t>Оптичний комутатор HPE SN3000B з модулями  (або еквівалент)</t>
  </si>
  <si>
    <t>4.7</t>
  </si>
  <si>
    <t>Кондиціонер серверний HPSC/HPSE14  (або еквівалент)</t>
  </si>
  <si>
    <t>Модернізація РРЛ системи передачі даних СПІ Костопіль - ПС Степань</t>
  </si>
  <si>
    <t>Модернізація РРЛ системи передачі даних СПІ ПС Степань - Сарни</t>
  </si>
  <si>
    <t>Модернізація РРЛ системи передачі даних СПІ ПС Південна - ПС Озеряни</t>
  </si>
  <si>
    <t>Модернізація РРЛ системи передачі даних СПІ ПС Озеряни - Дубно</t>
  </si>
  <si>
    <t>Модернізація РРЛ системи передачі даних СПІ Дубно - Млинів</t>
  </si>
  <si>
    <t>Модернізація РРЛ системи передачі даних СПІ Дубно - ПС Смига</t>
  </si>
  <si>
    <t>Модернізація РРЛ системи передачі даних СПІ ПС Смига - Радивилів</t>
  </si>
  <si>
    <t>Система селекторних нарад та конферен-зв‘язку</t>
  </si>
  <si>
    <t>БКМ-2М на базі ХТА-200 (або еквівалент)</t>
  </si>
  <si>
    <t>ТК-G-3309-АGP-18 (або еквівалент)</t>
  </si>
  <si>
    <t>ТК-G-3309 АС20(бригадний) (або еквівалент)</t>
  </si>
  <si>
    <t>Рено докер пасажир (або еквівалент)</t>
  </si>
  <si>
    <t>ГАЗ-33023(газель бригадна) (або еквівалент)</t>
  </si>
  <si>
    <t>ТК-U-3909 ВП6 (або еквівалент)</t>
  </si>
  <si>
    <t>міні екскаватор JCB-55Z-1 (або еквівалент)</t>
  </si>
  <si>
    <t>Аналізатор якості електроенергії (стаціонарний) класу "А" (або еквівалент)</t>
  </si>
  <si>
    <t>Універсальний інструмент CP-FLM20 фірми Cellpack для роботи із кабелем із шитого поліетилену (або еквівалент)</t>
  </si>
  <si>
    <t xml:space="preserve">Акт вводу форма ОЗ-1 №10/03/2021 від 31.03.2021 </t>
  </si>
  <si>
    <t xml:space="preserve">Акт вводу форма ОЗ-1 №11/03/2021 від 31.03.2021 </t>
  </si>
  <si>
    <t xml:space="preserve">Акт вводу форма ОЗ-1 №28/01/2021 від 31.01.2021   Акт вводу форма ОЗ-1 №18/02/2021 від 28.02.2021 </t>
  </si>
  <si>
    <t>Акт вводу форма ОЗ-1</t>
  </si>
  <si>
    <t>Бензопила STIHL MS-250 (або еквівалент)</t>
  </si>
  <si>
    <r>
      <t>Заплановано на</t>
    </r>
    <r>
      <rPr>
        <sz val="11"/>
        <color rgb="FFFF0000"/>
        <rFont val="Times New Roman"/>
        <family val="1"/>
        <charset val="204"/>
      </rPr>
      <t xml:space="preserve"> ІІ квартали </t>
    </r>
    <r>
      <rPr>
        <sz val="11"/>
        <rFont val="Times New Roman"/>
        <family val="1"/>
        <charset val="204"/>
      </rPr>
      <t xml:space="preserve"> (з наростаючим підсумком),
тис. грн  (без ПДВ)</t>
    </r>
  </si>
  <si>
    <t xml:space="preserve">Заплановано на ІІ квартали
(з наростаючим підсумком) </t>
  </si>
  <si>
    <t>Розпорядження №85 від 14.04.2021р. Акт №2 від 31.03.2021р.</t>
  </si>
  <si>
    <t>Розпорядження №85 від 14.04.2021р. Акт №1 від 31.03.2021р.</t>
  </si>
  <si>
    <t>ТОВ Старк Буд</t>
  </si>
  <si>
    <t>ТОВ БК Технорембуд</t>
  </si>
  <si>
    <t>ТОВ Проминвестбуд</t>
  </si>
  <si>
    <t>ПрАТ Електро</t>
  </si>
  <si>
    <t>ТОВ Електромонтаж Сістем</t>
  </si>
  <si>
    <t>ТОВ ПМП Рівнеелектромонтаж</t>
  </si>
  <si>
    <t>ТОВ Смек</t>
  </si>
  <si>
    <t>ТОВ БК Енерго</t>
  </si>
  <si>
    <t>ТОВ ЗЕС</t>
  </si>
  <si>
    <t>ТзОВ ІК Синергія</t>
  </si>
  <si>
    <t>ПрАТ ПВНДКТІ Укрзахіденергопроект</t>
  </si>
  <si>
    <t>ТОВ ПМП РЕМ</t>
  </si>
  <si>
    <t>ТОВ ВМП Електросервіс</t>
  </si>
  <si>
    <t>ТОВ Елінн</t>
  </si>
  <si>
    <t>ТОВ Електросвіт</t>
  </si>
  <si>
    <t>ТОВ ВП Електросервіс</t>
  </si>
  <si>
    <t>ТОВ Екніс-інжиніринг</t>
  </si>
  <si>
    <t>Акт вводу форма ОЗ-2</t>
  </si>
  <si>
    <t>Акт НМА</t>
  </si>
  <si>
    <t>1,451</t>
  </si>
  <si>
    <t>Розпорядження №113 від 12.05.2021р. Акт №5 від 29.04.2021р.</t>
  </si>
  <si>
    <t>Розпорядження №113 від 12.05.2021р. Акт №7 від 23.04.2021р.</t>
  </si>
  <si>
    <t>Розпорядження №113 від 12.05.2021р. Акт №6 від 30.04.2021р.</t>
  </si>
  <si>
    <t>Розпорядження №113 від 12.05.2021р. Акт №4 від 31.03.2021р.</t>
  </si>
  <si>
    <t>Розпорядження №113 від 12.05.2021р. Акт №3 від 29.04.2021р.</t>
  </si>
  <si>
    <r>
      <t xml:space="preserve">2. Детальний звіт щодо виконання інвестиційної програми ПрАТ "Рівнеобленерго" за </t>
    </r>
    <r>
      <rPr>
        <b/>
        <sz val="20"/>
        <color rgb="FFFF0000"/>
        <rFont val="Times New Roman"/>
        <family val="1"/>
        <charset val="204"/>
      </rPr>
      <t xml:space="preserve">січень-червень </t>
    </r>
    <r>
      <rPr>
        <b/>
        <sz val="20"/>
        <rFont val="Times New Roman"/>
        <family val="1"/>
        <charset val="204"/>
      </rPr>
      <t>2021 року</t>
    </r>
  </si>
  <si>
    <r>
      <t xml:space="preserve">1. Звіт щодо виконання інвестиційної програми ПрАТ "Рівнеобленерго" </t>
    </r>
    <r>
      <rPr>
        <b/>
        <sz val="14"/>
        <color indexed="10"/>
        <rFont val="Times New Roman"/>
        <family val="1"/>
        <charset val="204"/>
      </rPr>
      <t xml:space="preserve">за січень-червень 2021 року </t>
    </r>
  </si>
  <si>
    <r>
      <t xml:space="preserve">Виконано за </t>
    </r>
    <r>
      <rPr>
        <sz val="11"/>
        <color rgb="FFFF0000"/>
        <rFont val="Times New Roman"/>
        <family val="1"/>
        <charset val="204"/>
      </rPr>
      <t xml:space="preserve">6 місяців </t>
    </r>
    <r>
      <rPr>
        <sz val="11"/>
        <rFont val="Times New Roman"/>
        <family val="1"/>
        <charset val="204"/>
      </rPr>
      <t>(з наростаючим підсумком), тис. грн (без ПДВ)</t>
    </r>
  </si>
  <si>
    <t>31.06.2021</t>
  </si>
  <si>
    <t xml:space="preserve">У тому числі економія коштів, що склалася при виконанні заходів ІП, тис. грн (без ПДВ) </t>
  </si>
  <si>
    <t>Джерело фінансування*</t>
  </si>
  <si>
    <t>Реквізити документа, що засвідчує виконання заходу ІП</t>
  </si>
  <si>
    <t>У тому числі економія коштів, що склалася при виконанні заходів ІП, тис. грн (без ПДВ)**</t>
  </si>
  <si>
    <t>Примітка:</t>
  </si>
  <si>
    <t>* Необхідно зазначити статтю джерела/джерел фінансування: амортизація, прибуток на виробничі інвестиції, прибуток (обов’язкові реінвестиції), прибуток (додаткові реінвестиції), за перетоки реактивної е/е, дохід від небалансу ТВЕ, плата за приєднання, кредити, інші (розшифрувати).</t>
  </si>
  <si>
    <t>** Розраховується відповідно до Порядку контролю за дотриманням ліцензіатами, що провадять діяльність у сферах енергетики та комунальних послуг, законодавства у відповідних сферах та ліцензійних умов, затвердженого постановою НКРЕКП від 14.06.2018 № 428.</t>
  </si>
  <si>
    <t>Розпорядження №134 від 07.06.2021р. Акт №11 від 07.06.2021р.</t>
  </si>
  <si>
    <t>Розпорядження №134 від 07.06.2021р. Акт №12 від 07.06.2021р.</t>
  </si>
  <si>
    <t>Розпорядження №134 від 07.06.2021р. Акт №13 від 07.06.2021р.</t>
  </si>
  <si>
    <t>Розпорядження №134 від 07.06.2021р. Акт №14 від 07.06.2021р.</t>
  </si>
  <si>
    <t>Розпорядження №134 від 07.06.2021р. Акт №15 від 07.06.2021р.</t>
  </si>
  <si>
    <t>Розпорядження №134 від 07.06.2021р. Акт №16 від 07.06.2021р.</t>
  </si>
  <si>
    <t>Розпорядження №134 від 07.06.2021р. Акт №17 від 07.06.2021р.</t>
  </si>
  <si>
    <t>Розпорядження №134 від 07.06.2021р. Акт №18 від 07.06.2021р.</t>
  </si>
  <si>
    <t>Розпорядження №113 від 12.05.2021р. Акт №8 від 12.05.2021р.</t>
  </si>
  <si>
    <t>Розпорядження №134 від 07.06.2021р. Акт №19 від 07.06.2021р.</t>
  </si>
  <si>
    <t>Розпорядження №113 від 12.05.2021р. Акт №9 від 12.05.2021р.</t>
  </si>
  <si>
    <t>Розпорядження №134 від 07.06.2021р. Акт №20 від 07.06.2021р.</t>
  </si>
  <si>
    <t>Розпорядження №134 від 07.06.2021р. Акт №21 від 07.06.2021р.</t>
  </si>
  <si>
    <t>Розпорядження №113 від 12.05.2021р. Акт №10 від 12.05.2021р.</t>
  </si>
  <si>
    <t>Розпорядження №134 від 07.06.2021р. Акт №22 від 07.06.2021р.</t>
  </si>
  <si>
    <t>Розпорядження №134 від 07.06.2021р. Акт №23 від 07.06.2021р.</t>
  </si>
  <si>
    <t>Розпорядження №134 від 07.06.2021р. Акт №24 від 07.06.2021р.</t>
  </si>
  <si>
    <t>"19 " липня 2021 року</t>
  </si>
  <si>
    <t>1. Будівництво, технічне переоснащення та реконструкція електричних мереж та обладнання</t>
  </si>
  <si>
    <t>6. Технічне переоснащення та закупівля колісної техніки</t>
  </si>
  <si>
    <t>Технічне переоснащення та закупівля колісної техніки</t>
  </si>
  <si>
    <t>Будівництво, технічне переоснащення та реконструкція електричних мереж та обладнання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</si>
</sst>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0_ ;[Red]\-#,##0.00\ "/>
    <numFmt numFmtId="166" formatCode="#,##0.0_ ;[Red]\-#,##0.0\ "/>
    <numFmt numFmtId="167" formatCode="#,##0.000_ ;[Red]\-#,##0.000\ "/>
    <numFmt numFmtId="168" formatCode="#,##0_ ;[Red]\-#,##0\ "/>
    <numFmt numFmtId="169" formatCode="0.000"/>
    <numFmt numFmtId="170" formatCode="#,##0.000"/>
    <numFmt numFmtId="171" formatCode="0.0000"/>
  </numFmts>
  <fonts count="68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i/>
      <sz val="11"/>
      <name val="Arial"/>
      <family val="2"/>
      <charset val="204"/>
    </font>
    <font>
      <b/>
      <i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Arial"/>
      <family val="2"/>
      <charset val="204"/>
    </font>
    <font>
      <i/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1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/>
    <xf numFmtId="0" fontId="15" fillId="0" borderId="0"/>
    <xf numFmtId="0" fontId="15" fillId="0" borderId="0"/>
    <xf numFmtId="0" fontId="4" fillId="0" borderId="0"/>
    <xf numFmtId="0" fontId="2" fillId="0" borderId="0"/>
    <xf numFmtId="0" fontId="2" fillId="0" borderId="0"/>
    <xf numFmtId="0" fontId="15" fillId="0" borderId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23" fillId="23" borderId="7" applyNumberFormat="0" applyFont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15" fillId="0" borderId="0"/>
    <xf numFmtId="0" fontId="9" fillId="0" borderId="0"/>
    <xf numFmtId="0" fontId="9" fillId="0" borderId="0"/>
    <xf numFmtId="0" fontId="6" fillId="0" borderId="0"/>
    <xf numFmtId="0" fontId="9" fillId="0" borderId="0"/>
    <xf numFmtId="9" fontId="2" fillId="0" borderId="0" applyFont="0" applyFill="0" applyBorder="0" applyAlignment="0" applyProtection="0"/>
    <xf numFmtId="0" fontId="21" fillId="0" borderId="0"/>
    <xf numFmtId="0" fontId="15" fillId="0" borderId="0"/>
    <xf numFmtId="0" fontId="2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9" fontId="50" fillId="0" borderId="0" applyFont="0" applyFill="0" applyBorder="0" applyAlignment="0" applyProtection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</cellStyleXfs>
  <cellXfs count="487">
    <xf numFmtId="0" fontId="0" fillId="0" borderId="0" xfId="0"/>
    <xf numFmtId="0" fontId="4" fillId="0" borderId="0" xfId="34" applyFont="1" applyBorder="1" applyProtection="1"/>
    <xf numFmtId="0" fontId="4" fillId="0" borderId="0" xfId="34" applyFont="1" applyProtection="1"/>
    <xf numFmtId="0" fontId="7" fillId="0" borderId="0" xfId="34" applyFont="1"/>
    <xf numFmtId="0" fontId="8" fillId="0" borderId="0" xfId="34" applyFont="1"/>
    <xf numFmtId="0" fontId="10" fillId="0" borderId="0" xfId="34" applyFont="1" applyAlignment="1">
      <alignment horizontal="left" indent="1"/>
    </xf>
    <xf numFmtId="0" fontId="7" fillId="0" borderId="0" xfId="34" applyFont="1" applyProtection="1"/>
    <xf numFmtId="0" fontId="7" fillId="0" borderId="0" xfId="34" applyFont="1" applyAlignment="1" applyProtection="1">
      <alignment horizontal="left" indent="1"/>
    </xf>
    <xf numFmtId="4" fontId="8" fillId="0" borderId="10" xfId="34" applyNumberFormat="1" applyFont="1" applyFill="1" applyBorder="1" applyAlignment="1" applyProtection="1">
      <alignment horizontal="center" vertical="center"/>
    </xf>
    <xf numFmtId="10" fontId="8" fillId="0" borderId="10" xfId="34" applyNumberFormat="1" applyFont="1" applyFill="1" applyBorder="1" applyAlignment="1" applyProtection="1">
      <alignment horizontal="center" vertical="center"/>
    </xf>
    <xf numFmtId="0" fontId="8" fillId="0" borderId="0" xfId="34" applyFont="1" applyProtection="1"/>
    <xf numFmtId="0" fontId="8" fillId="0" borderId="10" xfId="34" applyFont="1" applyFill="1" applyBorder="1" applyAlignment="1" applyProtection="1">
      <alignment horizontal="center" vertical="center" wrapText="1"/>
    </xf>
    <xf numFmtId="0" fontId="8" fillId="0" borderId="12" xfId="34" applyFont="1" applyFill="1" applyBorder="1" applyAlignment="1" applyProtection="1">
      <alignment horizontal="center" vertical="center" wrapText="1"/>
    </xf>
    <xf numFmtId="0" fontId="8" fillId="0" borderId="10" xfId="34" applyFont="1" applyFill="1" applyBorder="1" applyAlignment="1" applyProtection="1">
      <alignment horizontal="center" vertical="center"/>
    </xf>
    <xf numFmtId="4" fontId="8" fillId="0" borderId="10" xfId="34" applyNumberFormat="1" applyFont="1" applyFill="1" applyBorder="1" applyAlignment="1" applyProtection="1">
      <alignment horizontal="center" vertical="center"/>
      <protection locked="0"/>
    </xf>
    <xf numFmtId="0" fontId="8" fillId="0" borderId="0" xfId="34" applyFont="1" applyFill="1" applyProtection="1"/>
    <xf numFmtId="0" fontId="8" fillId="0" borderId="0" xfId="34" applyFont="1" applyFill="1"/>
    <xf numFmtId="0" fontId="10" fillId="0" borderId="13" xfId="34" applyFont="1" applyFill="1" applyBorder="1" applyAlignment="1" applyProtection="1">
      <alignment horizontal="center" vertical="center"/>
    </xf>
    <xf numFmtId="0" fontId="13" fillId="0" borderId="10" xfId="34" applyFont="1" applyFill="1" applyBorder="1" applyAlignment="1" applyProtection="1">
      <alignment horizontal="left" vertical="center" indent="1"/>
    </xf>
    <xf numFmtId="0" fontId="10" fillId="0" borderId="10" xfId="34" applyFont="1" applyFill="1" applyBorder="1" applyAlignment="1" applyProtection="1">
      <alignment horizontal="left" vertical="center" indent="1"/>
    </xf>
    <xf numFmtId="0" fontId="10" fillId="0" borderId="10" xfId="34" applyFont="1" applyFill="1" applyBorder="1" applyAlignment="1">
      <alignment horizontal="left" vertical="center" indent="1"/>
    </xf>
    <xf numFmtId="0" fontId="10" fillId="0" borderId="11" xfId="34" applyFont="1" applyFill="1" applyBorder="1" applyAlignment="1" applyProtection="1">
      <alignment horizontal="center" vertical="center"/>
    </xf>
    <xf numFmtId="0" fontId="9" fillId="0" borderId="0" xfId="34" applyFont="1" applyFill="1"/>
    <xf numFmtId="0" fontId="9" fillId="0" borderId="0" xfId="34" applyFont="1" applyAlignment="1" applyProtection="1">
      <alignment horizontal="left" indent="4"/>
    </xf>
    <xf numFmtId="0" fontId="9" fillId="0" borderId="0" xfId="34" applyFont="1" applyProtection="1"/>
    <xf numFmtId="0" fontId="10" fillId="0" borderId="0" xfId="34" applyFont="1" applyAlignment="1"/>
    <xf numFmtId="0" fontId="10" fillId="0" borderId="0" xfId="34" applyFont="1" applyAlignment="1">
      <alignment horizontal="left" indent="4"/>
    </xf>
    <xf numFmtId="0" fontId="14" fillId="0" borderId="0" xfId="34" applyFont="1" applyFill="1" applyAlignment="1">
      <alignment horizontal="left"/>
    </xf>
    <xf numFmtId="0" fontId="15" fillId="0" borderId="0" xfId="34" applyFont="1" applyFill="1" applyProtection="1"/>
    <xf numFmtId="0" fontId="7" fillId="0" borderId="0" xfId="34" applyFont="1" applyFill="1"/>
    <xf numFmtId="0" fontId="16" fillId="0" borderId="0" xfId="34" applyFont="1" applyFill="1"/>
    <xf numFmtId="0" fontId="7" fillId="0" borderId="0" xfId="34" applyFont="1" applyFill="1" applyAlignment="1">
      <alignment horizontal="center"/>
    </xf>
    <xf numFmtId="0" fontId="17" fillId="0" borderId="0" xfId="34" applyFont="1" applyFill="1"/>
    <xf numFmtId="0" fontId="7" fillId="0" borderId="0" xfId="53" applyFont="1" applyFill="1" applyProtection="1">
      <protection hidden="1"/>
    </xf>
    <xf numFmtId="0" fontId="7" fillId="0" borderId="0" xfId="53" applyFont="1" applyFill="1" applyAlignment="1" applyProtection="1">
      <alignment horizontal="center"/>
      <protection hidden="1"/>
    </xf>
    <xf numFmtId="0" fontId="7" fillId="0" borderId="0" xfId="53" applyFont="1" applyFill="1" applyAlignment="1" applyProtection="1">
      <alignment horizontal="left"/>
      <protection hidden="1"/>
    </xf>
    <xf numFmtId="0" fontId="7" fillId="0" borderId="0" xfId="53" applyFont="1" applyFill="1" applyAlignment="1" applyProtection="1">
      <alignment horizontal="left" indent="3"/>
      <protection hidden="1"/>
    </xf>
    <xf numFmtId="0" fontId="7" fillId="0" borderId="0" xfId="53" applyFont="1" applyFill="1" applyAlignment="1" applyProtection="1">
      <protection hidden="1"/>
    </xf>
    <xf numFmtId="0" fontId="8" fillId="24" borderId="10" xfId="34" applyFont="1" applyFill="1" applyBorder="1" applyAlignment="1" applyProtection="1">
      <alignment horizontal="center" vertical="top" wrapText="1"/>
    </xf>
    <xf numFmtId="0" fontId="8" fillId="24" borderId="10" xfId="34" applyFont="1" applyFill="1" applyBorder="1" applyAlignment="1" applyProtection="1">
      <alignment horizontal="center" vertical="center"/>
    </xf>
    <xf numFmtId="0" fontId="5" fillId="0" borderId="0" xfId="53" applyFont="1" applyBorder="1" applyAlignment="1" applyProtection="1">
      <alignment horizontal="left"/>
      <protection hidden="1"/>
    </xf>
    <xf numFmtId="0" fontId="8" fillId="0" borderId="0" xfId="35" applyFont="1" applyAlignment="1">
      <alignment horizontal="center" vertical="center" wrapText="1"/>
    </xf>
    <xf numFmtId="0" fontId="8" fillId="0" borderId="0" xfId="53" applyFont="1" applyProtection="1">
      <protection hidden="1"/>
    </xf>
    <xf numFmtId="0" fontId="7" fillId="0" borderId="0" xfId="37" applyFont="1" applyFill="1"/>
    <xf numFmtId="0" fontId="5" fillId="0" borderId="0" xfId="53" applyFont="1" applyFill="1" applyBorder="1" applyAlignment="1" applyProtection="1">
      <alignment horizontal="left"/>
      <protection hidden="1"/>
    </xf>
    <xf numFmtId="0" fontId="7" fillId="0" borderId="0" xfId="38" applyFont="1" applyAlignment="1">
      <alignment horizontal="center" vertical="center" wrapText="1"/>
    </xf>
    <xf numFmtId="0" fontId="7" fillId="0" borderId="0" xfId="38" applyFont="1" applyAlignment="1" applyProtection="1">
      <alignment horizontal="center" vertical="center"/>
    </xf>
    <xf numFmtId="0" fontId="9" fillId="0" borderId="0" xfId="38" applyFont="1" applyAlignment="1" applyProtection="1">
      <alignment horizontal="center" vertical="center"/>
    </xf>
    <xf numFmtId="0" fontId="8" fillId="0" borderId="0" xfId="53" applyFont="1" applyFill="1" applyProtection="1">
      <protection hidden="1"/>
    </xf>
    <xf numFmtId="4" fontId="5" fillId="25" borderId="10" xfId="34" applyNumberFormat="1" applyFont="1" applyFill="1" applyBorder="1" applyAlignment="1" applyProtection="1">
      <alignment horizontal="center" vertical="center"/>
    </xf>
    <xf numFmtId="10" fontId="5" fillId="25" borderId="10" xfId="34" applyNumberFormat="1" applyFont="1" applyFill="1" applyBorder="1" applyAlignment="1" applyProtection="1">
      <alignment horizontal="center" vertical="center"/>
    </xf>
    <xf numFmtId="0" fontId="8" fillId="0" borderId="0" xfId="38" applyFont="1" applyAlignment="1">
      <alignment horizontal="center" vertical="center" wrapText="1"/>
    </xf>
    <xf numFmtId="0" fontId="8" fillId="0" borderId="0" xfId="38" applyFont="1" applyAlignment="1">
      <alignment horizontal="center"/>
    </xf>
    <xf numFmtId="0" fontId="22" fillId="0" borderId="0" xfId="53" applyFont="1" applyAlignment="1" applyProtection="1">
      <alignment horizontal="left"/>
      <protection hidden="1"/>
    </xf>
    <xf numFmtId="0" fontId="8" fillId="0" borderId="0" xfId="38" applyFont="1" applyAlignment="1" applyProtection="1">
      <alignment horizontal="center" vertical="center"/>
    </xf>
    <xf numFmtId="0" fontId="8" fillId="0" borderId="0" xfId="53" applyFont="1" applyAlignment="1" applyProtection="1">
      <protection hidden="1"/>
    </xf>
    <xf numFmtId="14" fontId="2" fillId="25" borderId="14" xfId="34" applyNumberFormat="1" applyFont="1" applyFill="1" applyBorder="1" applyAlignment="1" applyProtection="1">
      <alignment horizontal="center" vertical="center"/>
      <protection locked="0"/>
    </xf>
    <xf numFmtId="0" fontId="8" fillId="0" borderId="0" xfId="58" applyFont="1" applyFill="1"/>
    <xf numFmtId="0" fontId="8" fillId="0" borderId="0" xfId="58" applyFont="1" applyFill="1" applyBorder="1"/>
    <xf numFmtId="0" fontId="8" fillId="0" borderId="0" xfId="58" applyFont="1" applyFill="1" applyAlignment="1">
      <alignment horizontal="center" vertical="center" wrapText="1"/>
    </xf>
    <xf numFmtId="0" fontId="12" fillId="0" borderId="10" xfId="58" applyFont="1" applyFill="1" applyBorder="1" applyAlignment="1">
      <alignment horizontal="center"/>
    </xf>
    <xf numFmtId="0" fontId="8" fillId="0" borderId="10" xfId="58" applyFont="1" applyFill="1" applyBorder="1" applyAlignment="1">
      <alignment horizontal="center" vertical="center" wrapText="1"/>
    </xf>
    <xf numFmtId="164" fontId="40" fillId="0" borderId="10" xfId="51" applyNumberFormat="1" applyFont="1" applyFill="1" applyBorder="1" applyAlignment="1">
      <alignment horizontal="center" vertical="center" wrapText="1"/>
    </xf>
    <xf numFmtId="0" fontId="40" fillId="0" borderId="10" xfId="40" applyFont="1" applyFill="1" applyBorder="1" applyAlignment="1">
      <alignment horizontal="center" vertical="center"/>
    </xf>
    <xf numFmtId="0" fontId="40" fillId="0" borderId="10" xfId="36" applyFont="1" applyFill="1" applyBorder="1" applyAlignment="1">
      <alignment horizontal="center" vertical="center"/>
    </xf>
    <xf numFmtId="0" fontId="5" fillId="0" borderId="10" xfId="58" applyFont="1" applyFill="1" applyBorder="1" applyAlignment="1">
      <alignment horizontal="left"/>
    </xf>
    <xf numFmtId="0" fontId="8" fillId="0" borderId="10" xfId="58" applyFont="1" applyFill="1" applyBorder="1" applyAlignment="1">
      <alignment horizontal="center" vertical="center"/>
    </xf>
    <xf numFmtId="167" fontId="8" fillId="0" borderId="10" xfId="58" applyNumberFormat="1" applyFont="1" applyFill="1" applyBorder="1" applyAlignment="1">
      <alignment horizontal="center" vertical="center"/>
    </xf>
    <xf numFmtId="166" fontId="8" fillId="0" borderId="10" xfId="58" applyNumberFormat="1" applyFont="1" applyFill="1" applyBorder="1" applyAlignment="1">
      <alignment horizontal="center" vertical="center" wrapText="1"/>
    </xf>
    <xf numFmtId="0" fontId="40" fillId="0" borderId="11" xfId="57" applyNumberFormat="1" applyFont="1" applyFill="1" applyBorder="1" applyAlignment="1">
      <alignment horizontal="center" vertical="center"/>
    </xf>
    <xf numFmtId="0" fontId="40" fillId="0" borderId="10" xfId="54" applyFont="1" applyFill="1" applyBorder="1" applyAlignment="1">
      <alignment horizontal="center" vertical="center"/>
    </xf>
    <xf numFmtId="0" fontId="5" fillId="0" borderId="0" xfId="58" applyFont="1" applyFill="1" applyBorder="1" applyAlignment="1">
      <alignment vertical="center"/>
    </xf>
    <xf numFmtId="166" fontId="5" fillId="0" borderId="0" xfId="58" applyNumberFormat="1" applyFont="1" applyFill="1" applyBorder="1" applyAlignment="1">
      <alignment horizontal="center" vertical="center"/>
    </xf>
    <xf numFmtId="166" fontId="5" fillId="0" borderId="0" xfId="58" applyNumberFormat="1" applyFont="1" applyFill="1" applyBorder="1" applyAlignment="1">
      <alignment horizontal="center" vertical="center" wrapText="1"/>
    </xf>
    <xf numFmtId="0" fontId="5" fillId="0" borderId="0" xfId="58" applyFont="1" applyFill="1" applyBorder="1" applyAlignment="1">
      <alignment horizontal="center" vertical="center" wrapText="1"/>
    </xf>
    <xf numFmtId="0" fontId="8" fillId="0" borderId="0" xfId="58" applyFont="1" applyFill="1" applyBorder="1" applyAlignment="1">
      <alignment horizontal="center" vertical="center" wrapText="1"/>
    </xf>
    <xf numFmtId="0" fontId="13" fillId="0" borderId="0" xfId="53" applyFont="1" applyBorder="1" applyAlignment="1" applyProtection="1">
      <alignment horizontal="left"/>
      <protection hidden="1"/>
    </xf>
    <xf numFmtId="0" fontId="7" fillId="0" borderId="0" xfId="58" applyFont="1" applyAlignment="1">
      <alignment horizontal="center" vertical="center" wrapText="1"/>
    </xf>
    <xf numFmtId="0" fontId="10" fillId="0" borderId="0" xfId="58" applyFont="1" applyAlignment="1">
      <alignment horizontal="center"/>
    </xf>
    <xf numFmtId="0" fontId="7" fillId="0" borderId="0" xfId="58" applyFont="1" applyAlignment="1" applyProtection="1">
      <alignment horizontal="center" vertical="center"/>
    </xf>
    <xf numFmtId="0" fontId="9" fillId="0" borderId="0" xfId="58" applyFont="1" applyAlignment="1" applyProtection="1">
      <alignment horizontal="center" vertical="center"/>
    </xf>
    <xf numFmtId="0" fontId="10" fillId="0" borderId="0" xfId="53" applyFont="1" applyProtection="1">
      <protection hidden="1"/>
    </xf>
    <xf numFmtId="0" fontId="10" fillId="0" borderId="0" xfId="53" applyFont="1" applyAlignment="1" applyProtection="1">
      <protection hidden="1"/>
    </xf>
    <xf numFmtId="0" fontId="7" fillId="0" borderId="0" xfId="58" applyFont="1" applyFill="1"/>
    <xf numFmtId="0" fontId="16" fillId="0" borderId="0" xfId="58" applyFont="1" applyFill="1"/>
    <xf numFmtId="4" fontId="40" fillId="0" borderId="10" xfId="58" applyNumberFormat="1" applyFont="1" applyFill="1" applyBorder="1" applyAlignment="1">
      <alignment horizontal="center" vertical="center"/>
    </xf>
    <xf numFmtId="4" fontId="41" fillId="0" borderId="10" xfId="58" applyNumberFormat="1" applyFont="1" applyFill="1" applyBorder="1" applyAlignment="1">
      <alignment horizontal="center" vertical="center"/>
    </xf>
    <xf numFmtId="0" fontId="41" fillId="0" borderId="10" xfId="58" applyFont="1" applyFill="1" applyBorder="1" applyAlignment="1">
      <alignment horizontal="center"/>
    </xf>
    <xf numFmtId="3" fontId="40" fillId="0" borderId="10" xfId="58" applyNumberFormat="1" applyFont="1" applyFill="1" applyBorder="1" applyAlignment="1">
      <alignment horizontal="center" vertical="center"/>
    </xf>
    <xf numFmtId="2" fontId="40" fillId="0" borderId="10" xfId="58" applyNumberFormat="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2" fontId="41" fillId="0" borderId="10" xfId="58" applyNumberFormat="1" applyFont="1" applyFill="1" applyBorder="1" applyAlignment="1">
      <alignment horizontal="center" vertical="center"/>
    </xf>
    <xf numFmtId="168" fontId="40" fillId="0" borderId="10" xfId="58" applyNumberFormat="1" applyFont="1" applyFill="1" applyBorder="1" applyAlignment="1">
      <alignment horizontal="center" vertical="center" wrapText="1"/>
    </xf>
    <xf numFmtId="165" fontId="40" fillId="0" borderId="10" xfId="58" applyNumberFormat="1" applyFont="1" applyFill="1" applyBorder="1" applyAlignment="1">
      <alignment horizontal="center" vertical="center" wrapText="1"/>
    </xf>
    <xf numFmtId="168" fontId="10" fillId="0" borderId="10" xfId="58" applyNumberFormat="1" applyFont="1" applyFill="1" applyBorder="1" applyAlignment="1">
      <alignment horizontal="center" vertical="center"/>
    </xf>
    <xf numFmtId="166" fontId="10" fillId="0" borderId="10" xfId="58" applyNumberFormat="1" applyFont="1" applyFill="1" applyBorder="1" applyAlignment="1">
      <alignment horizontal="center" vertical="center"/>
    </xf>
    <xf numFmtId="165" fontId="13" fillId="0" borderId="10" xfId="58" applyNumberFormat="1" applyFont="1" applyFill="1" applyBorder="1" applyAlignment="1">
      <alignment horizontal="center" vertical="center" wrapText="1"/>
    </xf>
    <xf numFmtId="166" fontId="10" fillId="0" borderId="10" xfId="58" applyNumberFormat="1" applyFont="1" applyFill="1" applyBorder="1" applyAlignment="1">
      <alignment horizontal="center" vertical="center" wrapText="1"/>
    </xf>
    <xf numFmtId="0" fontId="42" fillId="0" borderId="10" xfId="6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/>
    </xf>
    <xf numFmtId="4" fontId="13" fillId="0" borderId="10" xfId="58" applyNumberFormat="1" applyFont="1" applyFill="1" applyBorder="1" applyAlignment="1">
      <alignment horizontal="center"/>
    </xf>
    <xf numFmtId="2" fontId="41" fillId="0" borderId="10" xfId="58" applyNumberFormat="1" applyFont="1" applyFill="1" applyBorder="1" applyAlignment="1">
      <alignment horizontal="center"/>
    </xf>
    <xf numFmtId="1" fontId="41" fillId="0" borderId="10" xfId="58" applyNumberFormat="1" applyFont="1" applyFill="1" applyBorder="1" applyAlignment="1">
      <alignment horizontal="center"/>
    </xf>
    <xf numFmtId="4" fontId="41" fillId="0" borderId="10" xfId="58" applyNumberFormat="1" applyFont="1" applyFill="1" applyBorder="1" applyAlignment="1">
      <alignment horizontal="center"/>
    </xf>
    <xf numFmtId="0" fontId="10" fillId="0" borderId="10" xfId="58" applyFont="1" applyFill="1" applyBorder="1" applyAlignment="1">
      <alignment horizontal="center" vertical="center" wrapText="1"/>
    </xf>
    <xf numFmtId="0" fontId="45" fillId="0" borderId="10" xfId="58" applyFont="1" applyFill="1" applyBorder="1" applyAlignment="1">
      <alignment horizontal="center"/>
    </xf>
    <xf numFmtId="0" fontId="13" fillId="0" borderId="10" xfId="58" applyFont="1" applyFill="1" applyBorder="1" applyAlignment="1">
      <alignment horizontal="left"/>
    </xf>
    <xf numFmtId="0" fontId="10" fillId="0" borderId="10" xfId="58" applyFont="1" applyFill="1" applyBorder="1" applyAlignment="1">
      <alignment horizontal="center" vertical="center"/>
    </xf>
    <xf numFmtId="167" fontId="10" fillId="0" borderId="10" xfId="58" applyNumberFormat="1" applyFont="1" applyFill="1" applyBorder="1" applyAlignment="1">
      <alignment horizontal="center" vertical="center"/>
    </xf>
    <xf numFmtId="0" fontId="10" fillId="24" borderId="10" xfId="34" applyFont="1" applyFill="1" applyBorder="1" applyAlignment="1" applyProtection="1">
      <alignment horizontal="center" vertical="top" wrapText="1"/>
    </xf>
    <xf numFmtId="166" fontId="43" fillId="25" borderId="10" xfId="58" applyNumberFormat="1" applyFont="1" applyFill="1" applyBorder="1" applyAlignment="1">
      <alignment horizontal="center" vertical="center" wrapText="1"/>
    </xf>
    <xf numFmtId="165" fontId="44" fillId="25" borderId="10" xfId="58" applyNumberFormat="1" applyFont="1" applyFill="1" applyBorder="1" applyAlignment="1">
      <alignment horizontal="center" vertical="center" wrapText="1"/>
    </xf>
    <xf numFmtId="166" fontId="44" fillId="25" borderId="10" xfId="58" applyNumberFormat="1" applyFont="1" applyFill="1" applyBorder="1" applyAlignment="1">
      <alignment horizontal="center" vertical="center" wrapText="1"/>
    </xf>
    <xf numFmtId="4" fontId="44" fillId="25" borderId="10" xfId="58" applyNumberFormat="1" applyFont="1" applyFill="1" applyBorder="1" applyAlignment="1">
      <alignment horizontal="center" vertical="center" wrapText="1"/>
    </xf>
    <xf numFmtId="166" fontId="44" fillId="25" borderId="10" xfId="58" applyNumberFormat="1" applyFont="1" applyFill="1" applyBorder="1" applyAlignment="1">
      <alignment horizontal="center" vertical="center"/>
    </xf>
    <xf numFmtId="0" fontId="5" fillId="25" borderId="10" xfId="58" applyFont="1" applyFill="1" applyBorder="1" applyAlignment="1">
      <alignment horizontal="center" vertical="center" wrapText="1"/>
    </xf>
    <xf numFmtId="0" fontId="8" fillId="25" borderId="10" xfId="58" applyFont="1" applyFill="1" applyBorder="1" applyAlignment="1">
      <alignment horizontal="center" vertical="center" wrapText="1"/>
    </xf>
    <xf numFmtId="166" fontId="43" fillId="25" borderId="10" xfId="58" applyNumberFormat="1" applyFont="1" applyFill="1" applyBorder="1" applyAlignment="1">
      <alignment horizontal="center" vertical="center"/>
    </xf>
    <xf numFmtId="165" fontId="46" fillId="25" borderId="10" xfId="58" applyNumberFormat="1" applyFont="1" applyFill="1" applyBorder="1" applyAlignment="1">
      <alignment horizontal="center" vertical="center" wrapText="1"/>
    </xf>
    <xf numFmtId="4" fontId="46" fillId="25" borderId="10" xfId="58" applyNumberFormat="1" applyFont="1" applyFill="1" applyBorder="1" applyAlignment="1">
      <alignment horizontal="center" vertical="center"/>
    </xf>
    <xf numFmtId="10" fontId="40" fillId="0" borderId="10" xfId="58" applyNumberFormat="1" applyFont="1" applyFill="1" applyBorder="1" applyAlignment="1">
      <alignment horizontal="center" vertical="center"/>
    </xf>
    <xf numFmtId="165" fontId="10" fillId="0" borderId="10" xfId="58" applyNumberFormat="1" applyFont="1" applyFill="1" applyBorder="1" applyAlignment="1">
      <alignment horizontal="center" vertical="center" wrapText="1"/>
    </xf>
    <xf numFmtId="0" fontId="48" fillId="0" borderId="0" xfId="58" applyFont="1" applyAlignment="1">
      <alignment horizontal="center"/>
    </xf>
    <xf numFmtId="0" fontId="40" fillId="0" borderId="10" xfId="39" applyNumberFormat="1" applyFont="1" applyFill="1" applyBorder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 wrapText="1"/>
    </xf>
    <xf numFmtId="0" fontId="14" fillId="0" borderId="0" xfId="58" applyFont="1" applyFill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/>
    </xf>
    <xf numFmtId="0" fontId="11" fillId="25" borderId="10" xfId="58" applyFont="1" applyFill="1" applyBorder="1" applyAlignment="1">
      <alignment horizontal="center" vertical="center" wrapText="1"/>
    </xf>
    <xf numFmtId="0" fontId="40" fillId="0" borderId="10" xfId="58" applyFont="1" applyFill="1" applyBorder="1" applyAlignment="1">
      <alignment horizontal="center" vertical="center" wrapText="1"/>
    </xf>
    <xf numFmtId="1" fontId="40" fillId="0" borderId="10" xfId="58" applyNumberFormat="1" applyFont="1" applyFill="1" applyBorder="1" applyAlignment="1">
      <alignment horizontal="center" vertical="center"/>
    </xf>
    <xf numFmtId="0" fontId="10" fillId="0" borderId="10" xfId="58" applyFont="1" applyFill="1" applyBorder="1" applyAlignment="1">
      <alignment horizontal="center" vertical="center" wrapText="1"/>
    </xf>
    <xf numFmtId="0" fontId="5" fillId="0" borderId="11" xfId="58" applyFont="1" applyFill="1" applyBorder="1" applyAlignment="1">
      <alignment horizontal="left" vertical="center"/>
    </xf>
    <xf numFmtId="0" fontId="5" fillId="0" borderId="16" xfId="58" applyFont="1" applyFill="1" applyBorder="1" applyAlignment="1">
      <alignment horizontal="left" vertical="center"/>
    </xf>
    <xf numFmtId="2" fontId="40" fillId="0" borderId="10" xfId="52" applyNumberFormat="1" applyFont="1" applyFill="1" applyBorder="1" applyAlignment="1" applyProtection="1">
      <alignment horizontal="center" vertical="center" wrapText="1"/>
    </xf>
    <xf numFmtId="4" fontId="41" fillId="0" borderId="11" xfId="52" applyNumberFormat="1" applyFont="1" applyFill="1" applyBorder="1" applyAlignment="1" applyProtection="1">
      <alignment horizontal="center" vertical="center" wrapText="1"/>
    </xf>
    <xf numFmtId="2" fontId="40" fillId="0" borderId="10" xfId="54" applyNumberFormat="1" applyFont="1" applyFill="1" applyBorder="1" applyAlignment="1">
      <alignment horizontal="center" vertical="center"/>
    </xf>
    <xf numFmtId="1" fontId="40" fillId="0" borderId="10" xfId="54" applyNumberFormat="1" applyFont="1" applyFill="1" applyBorder="1" applyAlignment="1">
      <alignment horizontal="center" vertical="center"/>
    </xf>
    <xf numFmtId="0" fontId="12" fillId="0" borderId="12" xfId="58" applyFont="1" applyFill="1" applyBorder="1" applyAlignment="1">
      <alignment horizontal="center"/>
    </xf>
    <xf numFmtId="0" fontId="12" fillId="0" borderId="10" xfId="58" applyFont="1" applyFill="1" applyBorder="1" applyAlignment="1">
      <alignment horizontal="left"/>
    </xf>
    <xf numFmtId="49" fontId="40" fillId="0" borderId="10" xfId="40" applyNumberFormat="1" applyFont="1" applyFill="1" applyBorder="1" applyAlignment="1">
      <alignment horizontal="center" vertical="center"/>
    </xf>
    <xf numFmtId="0" fontId="10" fillId="0" borderId="16" xfId="61" applyFont="1" applyFill="1" applyBorder="1" applyAlignment="1">
      <alignment horizontal="left" vertical="center" wrapText="1"/>
    </xf>
    <xf numFmtId="0" fontId="40" fillId="0" borderId="10" xfId="65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center" vertical="center" wrapText="1"/>
    </xf>
    <xf numFmtId="2" fontId="40" fillId="0" borderId="10" xfId="40" applyNumberFormat="1" applyFont="1" applyFill="1" applyBorder="1" applyAlignment="1">
      <alignment horizontal="center" vertical="center"/>
    </xf>
    <xf numFmtId="2" fontId="41" fillId="0" borderId="11" xfId="40" applyNumberFormat="1" applyFont="1" applyFill="1" applyBorder="1" applyAlignment="1">
      <alignment horizontal="center" vertical="center"/>
    </xf>
    <xf numFmtId="1" fontId="40" fillId="0" borderId="10" xfId="40" applyNumberFormat="1" applyFont="1" applyFill="1" applyBorder="1" applyAlignment="1">
      <alignment horizontal="center" vertical="center"/>
    </xf>
    <xf numFmtId="10" fontId="41" fillId="0" borderId="10" xfId="64" applyNumberFormat="1" applyFont="1" applyFill="1" applyBorder="1" applyAlignment="1">
      <alignment horizontal="center" vertical="center"/>
    </xf>
    <xf numFmtId="10" fontId="10" fillId="0" borderId="10" xfId="64" applyNumberFormat="1" applyFont="1" applyFill="1" applyBorder="1" applyAlignment="1">
      <alignment horizontal="center" vertical="center" wrapText="1"/>
    </xf>
    <xf numFmtId="165" fontId="8" fillId="0" borderId="10" xfId="58" applyNumberFormat="1" applyFont="1" applyFill="1" applyBorder="1" applyAlignment="1">
      <alignment horizontal="center" vertical="center" wrapText="1"/>
    </xf>
    <xf numFmtId="1" fontId="40" fillId="0" borderId="10" xfId="39" applyNumberFormat="1" applyFont="1" applyFill="1" applyBorder="1" applyAlignment="1">
      <alignment horizontal="center" vertical="center" wrapText="1"/>
    </xf>
    <xf numFmtId="4" fontId="13" fillId="0" borderId="10" xfId="58" applyNumberFormat="1" applyFont="1" applyFill="1" applyBorder="1" applyAlignment="1">
      <alignment horizontal="center" vertical="center"/>
    </xf>
    <xf numFmtId="2" fontId="13" fillId="0" borderId="10" xfId="58" applyNumberFormat="1" applyFont="1" applyFill="1" applyBorder="1" applyAlignment="1">
      <alignment horizontal="center"/>
    </xf>
    <xf numFmtId="0" fontId="10" fillId="0" borderId="10" xfId="58" applyFont="1" applyFill="1" applyBorder="1" applyAlignment="1">
      <alignment horizontal="center"/>
    </xf>
    <xf numFmtId="3" fontId="13" fillId="0" borderId="10" xfId="58" applyNumberFormat="1" applyFont="1" applyFill="1" applyBorder="1" applyAlignment="1">
      <alignment horizontal="center"/>
    </xf>
    <xf numFmtId="0" fontId="49" fillId="0" borderId="10" xfId="54" applyFont="1" applyFill="1" applyBorder="1" applyAlignment="1">
      <alignment horizontal="center" vertical="center"/>
    </xf>
    <xf numFmtId="2" fontId="49" fillId="0" borderId="10" xfId="61" applyNumberFormat="1" applyFont="1" applyFill="1" applyBorder="1" applyAlignment="1">
      <alignment horizontal="center" vertical="center"/>
    </xf>
    <xf numFmtId="0" fontId="53" fillId="0" borderId="10" xfId="36" applyFont="1" applyFill="1" applyBorder="1" applyAlignment="1">
      <alignment vertical="center" wrapText="1"/>
    </xf>
    <xf numFmtId="2" fontId="49" fillId="0" borderId="10" xfId="67" applyNumberFormat="1" applyFont="1" applyFill="1" applyBorder="1" applyAlignment="1">
      <alignment horizontal="center" vertical="center"/>
    </xf>
    <xf numFmtId="0" fontId="49" fillId="0" borderId="10" xfId="67" applyFont="1" applyFill="1" applyBorder="1" applyAlignment="1">
      <alignment horizontal="center" vertical="center"/>
    </xf>
    <xf numFmtId="2" fontId="49" fillId="0" borderId="10" xfId="63" applyNumberFormat="1" applyFont="1" applyFill="1" applyBorder="1" applyAlignment="1">
      <alignment horizontal="center" vertical="center"/>
    </xf>
    <xf numFmtId="0" fontId="49" fillId="0" borderId="10" xfId="54" applyFont="1" applyFill="1" applyBorder="1" applyAlignment="1">
      <alignment horizontal="center" vertical="center" wrapText="1"/>
    </xf>
    <xf numFmtId="2" fontId="49" fillId="0" borderId="10" xfId="54" applyNumberFormat="1" applyFont="1" applyFill="1" applyBorder="1" applyAlignment="1">
      <alignment horizontal="center" vertical="center" wrapText="1"/>
    </xf>
    <xf numFmtId="167" fontId="7" fillId="0" borderId="0" xfId="58" applyNumberFormat="1" applyFont="1" applyAlignment="1" applyProtection="1">
      <alignment horizontal="center" vertical="center"/>
    </xf>
    <xf numFmtId="0" fontId="10" fillId="0" borderId="0" xfId="53" applyFont="1" applyAlignment="1" applyProtection="1">
      <alignment horizontal="left"/>
      <protection hidden="1"/>
    </xf>
    <xf numFmtId="169" fontId="40" fillId="0" borderId="10" xfId="54" applyNumberFormat="1" applyFont="1" applyFill="1" applyBorder="1" applyAlignment="1">
      <alignment horizontal="center" vertical="center" wrapText="1"/>
    </xf>
    <xf numFmtId="3" fontId="13" fillId="0" borderId="10" xfId="58" applyNumberFormat="1" applyFont="1" applyFill="1" applyBorder="1" applyAlignment="1">
      <alignment horizontal="center" vertical="center"/>
    </xf>
    <xf numFmtId="2" fontId="40" fillId="0" borderId="10" xfId="54" applyNumberFormat="1" applyFont="1" applyFill="1" applyBorder="1" applyAlignment="1">
      <alignment horizontal="center" vertical="center" wrapText="1"/>
    </xf>
    <xf numFmtId="49" fontId="40" fillId="0" borderId="10" xfId="36" applyNumberFormat="1" applyFont="1" applyFill="1" applyBorder="1" applyAlignment="1">
      <alignment horizontal="center" vertical="center"/>
    </xf>
    <xf numFmtId="0" fontId="41" fillId="0" borderId="10" xfId="58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 wrapText="1"/>
    </xf>
    <xf numFmtId="0" fontId="55" fillId="0" borderId="10" xfId="56" applyFont="1" applyFill="1" applyBorder="1" applyAlignment="1">
      <alignment horizontal="center" vertical="center" wrapText="1"/>
    </xf>
    <xf numFmtId="0" fontId="55" fillId="0" borderId="10" xfId="40" applyFont="1" applyFill="1" applyBorder="1" applyAlignment="1">
      <alignment horizontal="left" vertical="center" wrapText="1"/>
    </xf>
    <xf numFmtId="0" fontId="55" fillId="0" borderId="10" xfId="51" applyFont="1" applyFill="1" applyBorder="1" applyAlignment="1">
      <alignment horizontal="center" vertical="center"/>
    </xf>
    <xf numFmtId="4" fontId="40" fillId="0" borderId="11" xfId="54" applyNumberFormat="1" applyFont="1" applyFill="1" applyBorder="1" applyAlignment="1">
      <alignment horizontal="center" vertical="center" wrapText="1"/>
    </xf>
    <xf numFmtId="4" fontId="41" fillId="0" borderId="11" xfId="54" applyNumberFormat="1" applyFont="1" applyFill="1" applyBorder="1" applyAlignment="1">
      <alignment horizontal="center" vertical="center" wrapText="1"/>
    </xf>
    <xf numFmtId="2" fontId="40" fillId="0" borderId="10" xfId="36" applyNumberFormat="1" applyFont="1" applyFill="1" applyBorder="1" applyAlignment="1">
      <alignment horizontal="center" vertical="center"/>
    </xf>
    <xf numFmtId="1" fontId="40" fillId="0" borderId="10" xfId="54" applyNumberFormat="1" applyFont="1" applyFill="1" applyBorder="1" applyAlignment="1">
      <alignment horizontal="center" vertical="center" wrapText="1"/>
    </xf>
    <xf numFmtId="2" fontId="40" fillId="0" borderId="10" xfId="40" applyNumberFormat="1" applyFont="1" applyFill="1" applyBorder="1" applyAlignment="1">
      <alignment horizontal="center" vertical="center" wrapText="1"/>
    </xf>
    <xf numFmtId="1" fontId="40" fillId="0" borderId="10" xfId="40" applyNumberFormat="1" applyFont="1" applyFill="1" applyBorder="1" applyAlignment="1">
      <alignment horizontal="center" vertical="center" wrapText="1"/>
    </xf>
    <xf numFmtId="3" fontId="40" fillId="0" borderId="10" xfId="35" applyNumberFormat="1" applyFont="1" applyFill="1" applyBorder="1" applyAlignment="1">
      <alignment horizontal="center" vertical="center"/>
    </xf>
    <xf numFmtId="2" fontId="40" fillId="0" borderId="10" xfId="67" applyNumberFormat="1" applyFont="1" applyFill="1" applyBorder="1" applyAlignment="1">
      <alignment horizontal="center" vertical="center"/>
    </xf>
    <xf numFmtId="0" fontId="40" fillId="0" borderId="10" xfId="67" applyFont="1" applyFill="1" applyBorder="1" applyAlignment="1">
      <alignment horizontal="center" vertical="center"/>
    </xf>
    <xf numFmtId="0" fontId="16" fillId="26" borderId="0" xfId="58" applyFont="1" applyFill="1"/>
    <xf numFmtId="0" fontId="8" fillId="26" borderId="0" xfId="58" applyFont="1" applyFill="1"/>
    <xf numFmtId="0" fontId="10" fillId="0" borderId="10" xfId="58" applyFont="1" applyFill="1" applyBorder="1" applyAlignment="1">
      <alignment horizontal="center" vertical="center" wrapText="1"/>
    </xf>
    <xf numFmtId="0" fontId="7" fillId="0" borderId="0" xfId="58" applyFont="1" applyFill="1" applyAlignment="1" applyProtection="1">
      <alignment horizontal="center" vertical="center"/>
    </xf>
    <xf numFmtId="0" fontId="45" fillId="0" borderId="10" xfId="58" applyFont="1" applyFill="1" applyBorder="1" applyAlignment="1">
      <alignment horizontal="center" vertical="center" wrapText="1"/>
    </xf>
    <xf numFmtId="0" fontId="8" fillId="0" borderId="12" xfId="58" applyFont="1" applyFill="1" applyBorder="1" applyAlignment="1">
      <alignment horizontal="center" vertical="center" wrapText="1"/>
    </xf>
    <xf numFmtId="0" fontId="12" fillId="0" borderId="10" xfId="58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8" fillId="0" borderId="0" xfId="34" applyNumberFormat="1" applyFont="1" applyFill="1" applyBorder="1" applyAlignment="1" applyProtection="1">
      <alignment horizontal="center" vertical="center"/>
    </xf>
    <xf numFmtId="2" fontId="4" fillId="0" borderId="0" xfId="34" applyNumberFormat="1" applyFont="1" applyBorder="1" applyProtection="1"/>
    <xf numFmtId="4" fontId="8" fillId="0" borderId="0" xfId="34" applyNumberFormat="1" applyFont="1" applyFill="1" applyBorder="1" applyAlignment="1" applyProtection="1">
      <alignment horizontal="center" vertical="center"/>
      <protection locked="0"/>
    </xf>
    <xf numFmtId="4" fontId="4" fillId="0" borderId="0" xfId="34" applyNumberFormat="1" applyFont="1" applyBorder="1" applyProtection="1"/>
    <xf numFmtId="164" fontId="40" fillId="0" borderId="10" xfId="36" applyNumberFormat="1" applyFont="1" applyFill="1" applyBorder="1" applyAlignment="1">
      <alignment horizontal="center" vertical="center"/>
    </xf>
    <xf numFmtId="0" fontId="13" fillId="0" borderId="10" xfId="36" applyFont="1" applyFill="1" applyBorder="1" applyAlignment="1">
      <alignment horizontal="center" vertical="center"/>
    </xf>
    <xf numFmtId="2" fontId="13" fillId="0" borderId="10" xfId="52" applyNumberFormat="1" applyFont="1" applyFill="1" applyBorder="1" applyAlignment="1" applyProtection="1">
      <alignment horizontal="center" vertical="center" wrapText="1"/>
    </xf>
    <xf numFmtId="3" fontId="13" fillId="0" borderId="10" xfId="54" applyNumberFormat="1" applyFont="1" applyFill="1" applyBorder="1" applyAlignment="1">
      <alignment horizontal="center" vertical="center" wrapText="1"/>
    </xf>
    <xf numFmtId="4" fontId="13" fillId="0" borderId="11" xfId="52" applyNumberFormat="1" applyFont="1" applyFill="1" applyBorder="1" applyAlignment="1" applyProtection="1">
      <alignment horizontal="center" vertical="center" wrapText="1"/>
    </xf>
    <xf numFmtId="49" fontId="13" fillId="0" borderId="10" xfId="36" applyNumberFormat="1" applyFont="1" applyFill="1" applyBorder="1" applyAlignment="1">
      <alignment horizontal="center" vertical="center"/>
    </xf>
    <xf numFmtId="2" fontId="13" fillId="0" borderId="10" xfId="40" applyNumberFormat="1" applyFont="1" applyFill="1" applyBorder="1" applyAlignment="1">
      <alignment horizontal="center" vertical="center" wrapText="1"/>
    </xf>
    <xf numFmtId="1" fontId="13" fillId="0" borderId="10" xfId="40" applyNumberFormat="1" applyFont="1" applyFill="1" applyBorder="1" applyAlignment="1">
      <alignment horizontal="center" vertical="center" wrapText="1"/>
    </xf>
    <xf numFmtId="1" fontId="13" fillId="0" borderId="10" xfId="58" applyNumberFormat="1" applyFont="1" applyFill="1" applyBorder="1" applyAlignment="1">
      <alignment horizontal="center" vertical="center"/>
    </xf>
    <xf numFmtId="2" fontId="13" fillId="0" borderId="10" xfId="58" applyNumberFormat="1" applyFont="1" applyFill="1" applyBorder="1" applyAlignment="1">
      <alignment horizontal="center" vertical="center"/>
    </xf>
    <xf numFmtId="4" fontId="13" fillId="0" borderId="11" xfId="54" applyNumberFormat="1" applyFont="1" applyFill="1" applyBorder="1" applyAlignment="1">
      <alignment horizontal="center" vertical="center" wrapText="1"/>
    </xf>
    <xf numFmtId="0" fontId="49" fillId="0" borderId="10" xfId="51" applyFont="1" applyFill="1" applyBorder="1" applyAlignment="1">
      <alignment horizontal="center" vertical="center"/>
    </xf>
    <xf numFmtId="2" fontId="13" fillId="0" borderId="10" xfId="36" applyNumberFormat="1" applyFont="1" applyFill="1" applyBorder="1" applyAlignment="1">
      <alignment horizontal="center" vertical="center"/>
    </xf>
    <xf numFmtId="1" fontId="13" fillId="0" borderId="10" xfId="54" applyNumberFormat="1" applyFont="1" applyFill="1" applyBorder="1" applyAlignment="1">
      <alignment horizontal="center" vertical="center" wrapText="1"/>
    </xf>
    <xf numFmtId="2" fontId="13" fillId="0" borderId="10" xfId="54" applyNumberFormat="1" applyFont="1" applyFill="1" applyBorder="1" applyAlignment="1">
      <alignment horizontal="center" vertical="center" wrapText="1"/>
    </xf>
    <xf numFmtId="4" fontId="13" fillId="0" borderId="10" xfId="35" applyNumberFormat="1" applyFont="1" applyFill="1" applyBorder="1" applyAlignment="1" applyProtection="1">
      <alignment horizontal="center" vertical="center"/>
      <protection locked="0"/>
    </xf>
    <xf numFmtId="0" fontId="13" fillId="0" borderId="10" xfId="40" applyFont="1" applyFill="1" applyBorder="1" applyAlignment="1">
      <alignment horizontal="left" vertical="center" wrapText="1"/>
    </xf>
    <xf numFmtId="0" fontId="13" fillId="0" borderId="10" xfId="58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169" fontId="13" fillId="0" borderId="10" xfId="58" applyNumberFormat="1" applyFont="1" applyFill="1" applyBorder="1" applyAlignment="1">
      <alignment horizontal="center" vertical="center"/>
    </xf>
    <xf numFmtId="0" fontId="40" fillId="0" borderId="10" xfId="40" applyFont="1" applyFill="1" applyBorder="1" applyAlignment="1">
      <alignment horizontal="center" vertical="center" wrapText="1"/>
    </xf>
    <xf numFmtId="0" fontId="10" fillId="0" borderId="10" xfId="36" applyFont="1" applyFill="1" applyBorder="1" applyAlignment="1">
      <alignment horizontal="left" vertical="center" wrapText="1"/>
    </xf>
    <xf numFmtId="2" fontId="40" fillId="0" borderId="10" xfId="68" applyNumberFormat="1" applyFont="1" applyFill="1" applyBorder="1" applyAlignment="1">
      <alignment horizontal="center" vertical="center"/>
    </xf>
    <xf numFmtId="0" fontId="40" fillId="0" borderId="10" xfId="36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40" fillId="0" borderId="10" xfId="57" applyNumberFormat="1" applyFont="1" applyFill="1" applyBorder="1" applyAlignment="1">
      <alignment horizontal="center" vertical="center"/>
    </xf>
    <xf numFmtId="0" fontId="10" fillId="0" borderId="10" xfId="36" applyFont="1" applyFill="1" applyBorder="1" applyAlignment="1">
      <alignment vertical="center" wrapText="1"/>
    </xf>
    <xf numFmtId="0" fontId="58" fillId="0" borderId="10" xfId="0" applyFont="1" applyBorder="1" applyAlignment="1">
      <alignment wrapText="1"/>
    </xf>
    <xf numFmtId="10" fontId="41" fillId="0" borderId="10" xfId="55" applyNumberFormat="1" applyFont="1" applyFill="1" applyBorder="1" applyAlignment="1">
      <alignment horizontal="center" vertical="center"/>
    </xf>
    <xf numFmtId="10" fontId="40" fillId="0" borderId="10" xfId="55" applyNumberFormat="1" applyFont="1" applyFill="1" applyBorder="1" applyAlignment="1">
      <alignment horizontal="center" vertical="center"/>
    </xf>
    <xf numFmtId="2" fontId="42" fillId="0" borderId="10" xfId="57" applyNumberFormat="1" applyFont="1" applyFill="1" applyBorder="1" applyAlignment="1">
      <alignment horizontal="center" vertical="center"/>
    </xf>
    <xf numFmtId="0" fontId="44" fillId="25" borderId="10" xfId="58" applyFont="1" applyFill="1" applyBorder="1" applyAlignment="1">
      <alignment horizontal="center" vertical="center" wrapText="1"/>
    </xf>
    <xf numFmtId="0" fontId="59" fillId="25" borderId="10" xfId="58" applyFont="1" applyFill="1" applyBorder="1" applyAlignment="1">
      <alignment horizontal="center" vertical="center" wrapText="1"/>
    </xf>
    <xf numFmtId="169" fontId="13" fillId="0" borderId="10" xfId="54" applyNumberFormat="1" applyFont="1" applyFill="1" applyBorder="1" applyAlignment="1">
      <alignment horizontal="center" vertical="center" wrapText="1"/>
    </xf>
    <xf numFmtId="169" fontId="40" fillId="0" borderId="10" xfId="52" applyNumberFormat="1" applyFont="1" applyFill="1" applyBorder="1" applyAlignment="1" applyProtection="1">
      <alignment horizontal="center" vertical="center" wrapText="1"/>
    </xf>
    <xf numFmtId="3" fontId="41" fillId="0" borderId="10" xfId="58" applyNumberFormat="1" applyFont="1" applyFill="1" applyBorder="1" applyAlignment="1">
      <alignment horizontal="center" vertical="center"/>
    </xf>
    <xf numFmtId="170" fontId="41" fillId="0" borderId="10" xfId="58" applyNumberFormat="1" applyFont="1" applyFill="1" applyBorder="1" applyAlignment="1">
      <alignment horizontal="center" vertical="center"/>
    </xf>
    <xf numFmtId="3" fontId="13" fillId="0" borderId="10" xfId="35" applyNumberFormat="1" applyFont="1" applyFill="1" applyBorder="1" applyAlignment="1" applyProtection="1">
      <alignment horizontal="center" vertical="center"/>
      <protection locked="0"/>
    </xf>
    <xf numFmtId="170" fontId="40" fillId="0" borderId="10" xfId="58" applyNumberFormat="1" applyFont="1" applyFill="1" applyBorder="1" applyAlignment="1">
      <alignment horizontal="center" vertical="center"/>
    </xf>
    <xf numFmtId="0" fontId="60" fillId="0" borderId="10" xfId="54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/>
    </xf>
    <xf numFmtId="165" fontId="8" fillId="0" borderId="0" xfId="58" applyNumberFormat="1" applyFont="1" applyFill="1"/>
    <xf numFmtId="0" fontId="40" fillId="0" borderId="10" xfId="58" applyNumberFormat="1" applyFont="1" applyFill="1" applyBorder="1" applyAlignment="1">
      <alignment horizontal="center" vertical="center"/>
    </xf>
    <xf numFmtId="169" fontId="40" fillId="0" borderId="10" xfId="36" applyNumberFormat="1" applyFont="1" applyFill="1" applyBorder="1" applyAlignment="1">
      <alignment horizontal="center" vertical="center"/>
    </xf>
    <xf numFmtId="1" fontId="40" fillId="0" borderId="10" xfId="36" applyNumberFormat="1" applyFont="1" applyFill="1" applyBorder="1" applyAlignment="1">
      <alignment horizontal="center" vertical="center"/>
    </xf>
    <xf numFmtId="49" fontId="41" fillId="0" borderId="10" xfId="36" applyNumberFormat="1" applyFont="1" applyFill="1" applyBorder="1" applyAlignment="1">
      <alignment horizontal="center" vertical="center"/>
    </xf>
    <xf numFmtId="0" fontId="41" fillId="0" borderId="10" xfId="36" applyFont="1" applyFill="1" applyBorder="1" applyAlignment="1">
      <alignment horizontal="center" vertical="center"/>
    </xf>
    <xf numFmtId="2" fontId="41" fillId="0" borderId="10" xfId="36" applyNumberFormat="1" applyFont="1" applyFill="1" applyBorder="1" applyAlignment="1">
      <alignment horizontal="center" vertical="center"/>
    </xf>
    <xf numFmtId="169" fontId="41" fillId="0" borderId="10" xfId="54" applyNumberFormat="1" applyFont="1" applyFill="1" applyBorder="1" applyAlignment="1">
      <alignment horizontal="center" vertical="center" wrapText="1"/>
    </xf>
    <xf numFmtId="2" fontId="41" fillId="0" borderId="10" xfId="52" applyNumberFormat="1" applyFont="1" applyFill="1" applyBorder="1" applyAlignment="1" applyProtection="1">
      <alignment horizontal="center" vertical="center" wrapText="1"/>
    </xf>
    <xf numFmtId="0" fontId="5" fillId="0" borderId="0" xfId="58" applyFont="1" applyFill="1" applyAlignment="1">
      <alignment horizontal="center" vertical="center" wrapText="1"/>
    </xf>
    <xf numFmtId="0" fontId="41" fillId="0" borderId="10" xfId="40" applyFont="1" applyFill="1" applyBorder="1" applyAlignment="1">
      <alignment horizontal="left" vertical="center" wrapText="1"/>
    </xf>
    <xf numFmtId="2" fontId="41" fillId="0" borderId="10" xfId="54" applyNumberFormat="1" applyFont="1" applyFill="1" applyBorder="1" applyAlignment="1">
      <alignment horizontal="center" vertical="center" wrapText="1"/>
    </xf>
    <xf numFmtId="169" fontId="41" fillId="0" borderId="10" xfId="54" applyNumberFormat="1" applyFont="1" applyFill="1" applyBorder="1" applyAlignment="1">
      <alignment horizontal="center" vertical="center"/>
    </xf>
    <xf numFmtId="0" fontId="54" fillId="0" borderId="10" xfId="51" applyFont="1" applyFill="1" applyBorder="1" applyAlignment="1">
      <alignment horizontal="center" vertical="center"/>
    </xf>
    <xf numFmtId="169" fontId="41" fillId="0" borderId="11" xfId="52" applyNumberFormat="1" applyFont="1" applyFill="1" applyBorder="1" applyAlignment="1" applyProtection="1">
      <alignment horizontal="center" vertical="center" wrapText="1"/>
    </xf>
    <xf numFmtId="169" fontId="41" fillId="0" borderId="10" xfId="52" applyNumberFormat="1" applyFont="1" applyFill="1" applyBorder="1" applyAlignment="1" applyProtection="1">
      <alignment horizontal="center" vertical="center" wrapText="1"/>
    </xf>
    <xf numFmtId="170" fontId="41" fillId="0" borderId="11" xfId="54" applyNumberFormat="1" applyFont="1" applyFill="1" applyBorder="1" applyAlignment="1">
      <alignment horizontal="center" vertical="center" wrapText="1"/>
    </xf>
    <xf numFmtId="169" fontId="41" fillId="0" borderId="10" xfId="36" applyNumberFormat="1" applyFont="1" applyFill="1" applyBorder="1" applyAlignment="1">
      <alignment horizontal="center" vertical="center"/>
    </xf>
    <xf numFmtId="2" fontId="40" fillId="0" borderId="15" xfId="68" applyNumberFormat="1" applyFont="1" applyFill="1" applyBorder="1" applyAlignment="1" applyProtection="1">
      <alignment horizontal="center" vertical="center" wrapText="1"/>
    </xf>
    <xf numFmtId="169" fontId="40" fillId="0" borderId="15" xfId="68" applyNumberFormat="1" applyFont="1" applyFill="1" applyBorder="1" applyAlignment="1" applyProtection="1">
      <alignment horizontal="center" vertical="center" wrapText="1"/>
    </xf>
    <xf numFmtId="1" fontId="40" fillId="0" borderId="15" xfId="68" applyNumberFormat="1" applyFont="1" applyFill="1" applyBorder="1" applyAlignment="1" applyProtection="1">
      <alignment horizontal="center" vertical="center" wrapText="1"/>
    </xf>
    <xf numFmtId="2" fontId="49" fillId="0" borderId="15" xfId="68" applyNumberFormat="1" applyFont="1" applyFill="1" applyBorder="1" applyAlignment="1" applyProtection="1">
      <alignment horizontal="center" vertical="center" wrapText="1"/>
    </xf>
    <xf numFmtId="169" fontId="40" fillId="0" borderId="15" xfId="36" applyNumberFormat="1" applyFont="1" applyFill="1" applyBorder="1" applyAlignment="1" applyProtection="1">
      <alignment horizontal="center" vertical="center" wrapText="1"/>
    </xf>
    <xf numFmtId="4" fontId="40" fillId="0" borderId="15" xfId="36" applyNumberFormat="1" applyFont="1" applyFill="1" applyBorder="1" applyAlignment="1" applyProtection="1">
      <alignment horizontal="center" vertical="center"/>
      <protection locked="0"/>
    </xf>
    <xf numFmtId="1" fontId="40" fillId="0" borderId="15" xfId="36" applyNumberFormat="1" applyFont="1" applyFill="1" applyBorder="1" applyAlignment="1" applyProtection="1">
      <alignment horizontal="center" vertical="center" wrapText="1"/>
    </xf>
    <xf numFmtId="2" fontId="40" fillId="0" borderId="15" xfId="36" applyNumberFormat="1" applyFont="1" applyFill="1" applyBorder="1" applyAlignment="1" applyProtection="1">
      <alignment horizontal="center" vertical="center" wrapText="1"/>
    </xf>
    <xf numFmtId="4" fontId="40" fillId="0" borderId="15" xfId="68" applyNumberFormat="1" applyFont="1" applyFill="1" applyBorder="1" applyAlignment="1" applyProtection="1">
      <alignment horizontal="center" vertical="center" wrapText="1"/>
    </xf>
    <xf numFmtId="4" fontId="41" fillId="0" borderId="10" xfId="36" applyNumberFormat="1" applyFont="1" applyFill="1" applyBorder="1" applyAlignment="1">
      <alignment horizontal="center" vertical="center"/>
    </xf>
    <xf numFmtId="4" fontId="40" fillId="0" borderId="15" xfId="36" applyNumberFormat="1" applyFont="1" applyFill="1" applyBorder="1" applyAlignment="1" applyProtection="1">
      <alignment horizontal="center" vertical="center" wrapText="1"/>
    </xf>
    <xf numFmtId="2" fontId="41" fillId="0" borderId="11" xfId="54" applyNumberFormat="1" applyFont="1" applyFill="1" applyBorder="1" applyAlignment="1">
      <alignment horizontal="center" vertical="center" wrapText="1"/>
    </xf>
    <xf numFmtId="2" fontId="40" fillId="0" borderId="11" xfId="54" applyNumberFormat="1" applyFont="1" applyFill="1" applyBorder="1" applyAlignment="1">
      <alignment horizontal="center" vertical="center" wrapText="1"/>
    </xf>
    <xf numFmtId="2" fontId="13" fillId="0" borderId="10" xfId="35" applyNumberFormat="1" applyFont="1" applyFill="1" applyBorder="1" applyAlignment="1" applyProtection="1">
      <alignment horizontal="center" vertical="center"/>
      <protection locked="0"/>
    </xf>
    <xf numFmtId="3" fontId="10" fillId="0" borderId="10" xfId="58" applyNumberFormat="1" applyFont="1" applyFill="1" applyBorder="1" applyAlignment="1">
      <alignment horizontal="center" vertical="center"/>
    </xf>
    <xf numFmtId="0" fontId="5" fillId="0" borderId="10" xfId="35" applyFont="1" applyFill="1" applyBorder="1" applyAlignment="1" applyProtection="1">
      <alignment horizontal="center" vertical="center"/>
    </xf>
    <xf numFmtId="169" fontId="40" fillId="0" borderId="15" xfId="67" applyNumberFormat="1" applyFont="1" applyFill="1" applyBorder="1" applyAlignment="1">
      <alignment horizontal="center" vertical="center" wrapText="1"/>
    </xf>
    <xf numFmtId="2" fontId="40" fillId="0" borderId="15" xfId="67" applyNumberFormat="1" applyFont="1" applyFill="1" applyBorder="1" applyAlignment="1">
      <alignment horizontal="center" vertical="center" wrapText="1"/>
    </xf>
    <xf numFmtId="1" fontId="40" fillId="0" borderId="15" xfId="67" applyNumberFormat="1" applyFont="1" applyFill="1" applyBorder="1" applyAlignment="1">
      <alignment horizontal="center" vertical="center" wrapText="1"/>
    </xf>
    <xf numFmtId="0" fontId="41" fillId="0" borderId="10" xfId="40" applyFont="1" applyFill="1" applyBorder="1" applyAlignment="1">
      <alignment horizontal="center" vertical="center" wrapText="1"/>
    </xf>
    <xf numFmtId="0" fontId="22" fillId="0" borderId="0" xfId="38" applyFont="1" applyAlignment="1"/>
    <xf numFmtId="0" fontId="8" fillId="0" borderId="0" xfId="35" applyFont="1" applyAlignment="1"/>
    <xf numFmtId="0" fontId="22" fillId="0" borderId="0" xfId="35" applyFont="1" applyAlignment="1"/>
    <xf numFmtId="2" fontId="10" fillId="0" borderId="0" xfId="58" applyNumberFormat="1" applyFont="1" applyAlignment="1">
      <alignment horizontal="center"/>
    </xf>
    <xf numFmtId="2" fontId="41" fillId="0" borderId="15" xfId="68" applyNumberFormat="1" applyFont="1" applyFill="1" applyBorder="1" applyAlignment="1" applyProtection="1">
      <alignment horizontal="center" vertical="center" wrapText="1"/>
    </xf>
    <xf numFmtId="2" fontId="16" fillId="0" borderId="0" xfId="34" applyNumberFormat="1" applyFont="1" applyFill="1"/>
    <xf numFmtId="0" fontId="60" fillId="0" borderId="10" xfId="54" applyFont="1" applyFill="1" applyBorder="1" applyAlignment="1">
      <alignment horizontal="center" vertical="center" wrapText="1"/>
    </xf>
    <xf numFmtId="0" fontId="41" fillId="0" borderId="10" xfId="58" applyFont="1" applyFill="1" applyBorder="1" applyAlignment="1">
      <alignment vertical="center" wrapText="1"/>
    </xf>
    <xf numFmtId="0" fontId="60" fillId="0" borderId="10" xfId="54" applyFont="1" applyFill="1" applyBorder="1" applyAlignment="1">
      <alignment vertical="center" wrapText="1"/>
    </xf>
    <xf numFmtId="0" fontId="40" fillId="0" borderId="15" xfId="69" applyFont="1" applyFill="1" applyBorder="1" applyAlignment="1">
      <alignment horizontal="right" vertical="center" wrapText="1"/>
    </xf>
    <xf numFmtId="4" fontId="40" fillId="0" borderId="15" xfId="67" applyNumberFormat="1" applyFont="1" applyFill="1" applyBorder="1" applyAlignment="1">
      <alignment horizontal="center" vertical="center" wrapText="1"/>
    </xf>
    <xf numFmtId="0" fontId="40" fillId="0" borderId="10" xfId="69" applyFont="1" applyFill="1" applyBorder="1" applyAlignment="1">
      <alignment horizontal="right" vertical="center" wrapText="1"/>
    </xf>
    <xf numFmtId="49" fontId="40" fillId="0" borderId="15" xfId="67" applyNumberFormat="1" applyFont="1" applyFill="1" applyBorder="1" applyAlignment="1">
      <alignment horizontal="center" vertical="center" wrapText="1"/>
    </xf>
    <xf numFmtId="0" fontId="40" fillId="0" borderId="15" xfId="67" applyNumberFormat="1" applyFont="1" applyFill="1" applyBorder="1" applyAlignment="1">
      <alignment horizontal="center" vertical="center" wrapText="1"/>
    </xf>
    <xf numFmtId="0" fontId="40" fillId="0" borderId="15" xfId="36" applyNumberFormat="1" applyFont="1" applyFill="1" applyBorder="1" applyAlignment="1" applyProtection="1">
      <alignment horizontal="center" vertical="center" wrapText="1"/>
    </xf>
    <xf numFmtId="0" fontId="40" fillId="0" borderId="15" xfId="35" applyFont="1" applyFill="1" applyBorder="1" applyAlignment="1">
      <alignment horizontal="right" vertical="center" wrapText="1"/>
    </xf>
    <xf numFmtId="0" fontId="13" fillId="0" borderId="10" xfId="35" applyFont="1" applyFill="1" applyBorder="1" applyAlignment="1" applyProtection="1">
      <alignment wrapText="1"/>
    </xf>
    <xf numFmtId="2" fontId="13" fillId="0" borderId="10" xfId="35" applyNumberFormat="1" applyFont="1" applyFill="1" applyBorder="1" applyAlignment="1" applyProtection="1">
      <alignment horizontal="center" vertical="center" wrapText="1"/>
    </xf>
    <xf numFmtId="0" fontId="40" fillId="0" borderId="10" xfId="69" applyFont="1" applyFill="1" applyBorder="1" applyAlignment="1">
      <alignment horizontal="left" vertical="center" wrapText="1"/>
    </xf>
    <xf numFmtId="0" fontId="13" fillId="0" borderId="15" xfId="69" applyFont="1" applyFill="1" applyBorder="1" applyAlignment="1">
      <alignment horizontal="left" vertical="center" wrapText="1"/>
    </xf>
    <xf numFmtId="4" fontId="13" fillId="0" borderId="10" xfId="40" applyNumberFormat="1" applyFont="1" applyFill="1" applyBorder="1" applyAlignment="1">
      <alignment horizontal="center" vertical="center" wrapText="1"/>
    </xf>
    <xf numFmtId="0" fontId="13" fillId="0" borderId="15" xfId="36" applyFont="1" applyFill="1" applyBorder="1" applyAlignment="1" applyProtection="1">
      <alignment horizontal="left" vertical="center" wrapText="1"/>
    </xf>
    <xf numFmtId="4" fontId="13" fillId="0" borderId="10" xfId="36" applyNumberFormat="1" applyFont="1" applyFill="1" applyBorder="1" applyAlignment="1" applyProtection="1">
      <alignment horizontal="center" vertical="center"/>
      <protection locked="0"/>
    </xf>
    <xf numFmtId="4" fontId="13" fillId="0" borderId="10" xfId="68" applyNumberFormat="1" applyFont="1" applyFill="1" applyBorder="1" applyAlignment="1" applyProtection="1">
      <alignment horizontal="center" vertical="center"/>
      <protection locked="0"/>
    </xf>
    <xf numFmtId="2" fontId="13" fillId="0" borderId="10" xfId="36" applyNumberFormat="1" applyFont="1" applyFill="1" applyBorder="1" applyAlignment="1" applyProtection="1">
      <alignment horizontal="center" vertical="center"/>
      <protection locked="0"/>
    </xf>
    <xf numFmtId="2" fontId="49" fillId="0" borderId="15" xfId="36" applyNumberFormat="1" applyFont="1" applyFill="1" applyBorder="1" applyAlignment="1" applyProtection="1">
      <alignment horizontal="center" vertical="center" wrapText="1"/>
    </xf>
    <xf numFmtId="4" fontId="55" fillId="0" borderId="10" xfId="36" applyNumberFormat="1" applyFont="1" applyFill="1" applyBorder="1" applyAlignment="1" applyProtection="1">
      <alignment horizontal="center" vertical="center"/>
      <protection locked="0"/>
    </xf>
    <xf numFmtId="0" fontId="61" fillId="0" borderId="10" xfId="35" applyFont="1" applyFill="1" applyBorder="1" applyAlignment="1" applyProtection="1">
      <alignment wrapText="1"/>
    </xf>
    <xf numFmtId="0" fontId="61" fillId="0" borderId="15" xfId="69" applyFont="1" applyFill="1" applyBorder="1" applyAlignment="1">
      <alignment horizontal="left" vertical="center" wrapText="1"/>
    </xf>
    <xf numFmtId="0" fontId="61" fillId="0" borderId="15" xfId="36" applyFont="1" applyFill="1" applyBorder="1" applyAlignment="1" applyProtection="1">
      <alignment horizontal="left" vertical="center" wrapText="1"/>
    </xf>
    <xf numFmtId="2" fontId="10" fillId="0" borderId="10" xfId="40" applyNumberFormat="1" applyFont="1" applyFill="1" applyBorder="1" applyAlignment="1">
      <alignment horizontal="center" vertical="center" wrapText="1"/>
    </xf>
    <xf numFmtId="0" fontId="12" fillId="0" borderId="0" xfId="58" applyFont="1" applyFill="1" applyAlignment="1">
      <alignment horizontal="center" vertical="center" wrapText="1"/>
    </xf>
    <xf numFmtId="0" fontId="41" fillId="0" borderId="10" xfId="69" applyFont="1" applyFill="1" applyBorder="1" applyAlignment="1">
      <alignment horizontal="left" vertical="center" wrapText="1"/>
    </xf>
    <xf numFmtId="2" fontId="41" fillId="0" borderId="10" xfId="40" applyNumberFormat="1" applyFont="1" applyFill="1" applyBorder="1" applyAlignment="1">
      <alignment horizontal="center" vertical="center" wrapText="1"/>
    </xf>
    <xf numFmtId="169" fontId="41" fillId="0" borderId="15" xfId="67" applyNumberFormat="1" applyFont="1" applyFill="1" applyBorder="1" applyAlignment="1">
      <alignment horizontal="center" vertical="center" wrapText="1"/>
    </xf>
    <xf numFmtId="4" fontId="41" fillId="0" borderId="15" xfId="67" applyNumberFormat="1" applyFont="1" applyFill="1" applyBorder="1" applyAlignment="1">
      <alignment horizontal="center" vertical="center" wrapText="1"/>
    </xf>
    <xf numFmtId="169" fontId="41" fillId="0" borderId="15" xfId="36" applyNumberFormat="1" applyFont="1" applyFill="1" applyBorder="1" applyAlignment="1" applyProtection="1">
      <alignment horizontal="center" vertical="center" wrapText="1"/>
    </xf>
    <xf numFmtId="4" fontId="41" fillId="0" borderId="15" xfId="36" applyNumberFormat="1" applyFont="1" applyFill="1" applyBorder="1" applyAlignment="1" applyProtection="1">
      <alignment horizontal="center" vertical="center" wrapText="1"/>
    </xf>
    <xf numFmtId="2" fontId="41" fillId="0" borderId="15" xfId="36" applyNumberFormat="1" applyFont="1" applyFill="1" applyBorder="1" applyAlignment="1" applyProtection="1">
      <alignment horizontal="center" vertical="center" wrapText="1"/>
    </xf>
    <xf numFmtId="1" fontId="41" fillId="0" borderId="10" xfId="54" applyNumberFormat="1" applyFont="1" applyFill="1" applyBorder="1" applyAlignment="1">
      <alignment horizontal="center" vertical="center" wrapText="1"/>
    </xf>
    <xf numFmtId="0" fontId="41" fillId="0" borderId="15" xfId="69" applyFont="1" applyFill="1" applyBorder="1" applyAlignment="1">
      <alignment horizontal="left" vertical="center" wrapText="1"/>
    </xf>
    <xf numFmtId="169" fontId="41" fillId="0" borderId="15" xfId="68" applyNumberFormat="1" applyFont="1" applyFill="1" applyBorder="1" applyAlignment="1" applyProtection="1">
      <alignment horizontal="center" vertical="center" wrapText="1"/>
    </xf>
    <xf numFmtId="4" fontId="41" fillId="0" borderId="15" xfId="68" applyNumberFormat="1" applyFont="1" applyFill="1" applyBorder="1" applyAlignment="1" applyProtection="1">
      <alignment horizontal="center" vertical="center" wrapText="1"/>
    </xf>
    <xf numFmtId="0" fontId="41" fillId="0" borderId="10" xfId="35" applyFont="1" applyFill="1" applyBorder="1" applyAlignment="1">
      <alignment horizontal="left" vertical="center" wrapText="1"/>
    </xf>
    <xf numFmtId="2" fontId="41" fillId="0" borderId="10" xfId="35" applyNumberFormat="1" applyFont="1" applyFill="1" applyBorder="1" applyAlignment="1">
      <alignment horizontal="center" vertical="center" wrapText="1"/>
    </xf>
    <xf numFmtId="169" fontId="41" fillId="0" borderId="10" xfId="40" applyNumberFormat="1" applyFont="1" applyFill="1" applyBorder="1" applyAlignment="1">
      <alignment horizontal="center" vertical="center" wrapText="1"/>
    </xf>
    <xf numFmtId="170" fontId="40" fillId="0" borderId="11" xfId="54" applyNumberFormat="1" applyFont="1" applyFill="1" applyBorder="1" applyAlignment="1">
      <alignment horizontal="center" vertical="center" wrapText="1"/>
    </xf>
    <xf numFmtId="2" fontId="54" fillId="0" borderId="15" xfId="68" applyNumberFormat="1" applyFont="1" applyFill="1" applyBorder="1" applyAlignment="1" applyProtection="1">
      <alignment horizontal="center" vertical="center" wrapText="1"/>
    </xf>
    <xf numFmtId="4" fontId="41" fillId="0" borderId="10" xfId="35" applyNumberFormat="1" applyFont="1" applyFill="1" applyBorder="1" applyAlignment="1">
      <alignment horizontal="center" vertical="center" wrapText="1"/>
    </xf>
    <xf numFmtId="0" fontId="54" fillId="0" borderId="15" xfId="69" applyFont="1" applyFill="1" applyBorder="1" applyAlignment="1">
      <alignment horizontal="left" vertical="center" wrapText="1"/>
    </xf>
    <xf numFmtId="4" fontId="54" fillId="0" borderId="15" xfId="36" applyNumberFormat="1" applyFont="1" applyFill="1" applyBorder="1" applyAlignment="1" applyProtection="1">
      <alignment horizontal="center" vertical="center" wrapText="1"/>
    </xf>
    <xf numFmtId="2" fontId="41" fillId="0" borderId="11" xfId="58" applyNumberFormat="1" applyFont="1" applyFill="1" applyBorder="1" applyAlignment="1">
      <alignment horizontal="center" vertical="center"/>
    </xf>
    <xf numFmtId="169" fontId="40" fillId="0" borderId="10" xfId="54" applyNumberFormat="1" applyFont="1" applyFill="1" applyBorder="1" applyAlignment="1">
      <alignment horizontal="center" vertical="center"/>
    </xf>
    <xf numFmtId="4" fontId="40" fillId="0" borderId="11" xfId="52" applyNumberFormat="1" applyFont="1" applyFill="1" applyBorder="1" applyAlignment="1" applyProtection="1">
      <alignment horizontal="center" vertical="center" wrapText="1"/>
    </xf>
    <xf numFmtId="2" fontId="54" fillId="0" borderId="15" xfId="36" applyNumberFormat="1" applyFont="1" applyFill="1" applyBorder="1" applyAlignment="1" applyProtection="1">
      <alignment horizontal="center" vertical="center" wrapText="1"/>
    </xf>
    <xf numFmtId="2" fontId="40" fillId="0" borderId="11" xfId="52" applyNumberFormat="1" applyFont="1" applyFill="1" applyBorder="1" applyAlignment="1" applyProtection="1">
      <alignment horizontal="center" vertical="center" wrapText="1"/>
    </xf>
    <xf numFmtId="0" fontId="41" fillId="0" borderId="15" xfId="35" applyFont="1" applyFill="1" applyBorder="1" applyAlignment="1">
      <alignment horizontal="left" vertical="center" wrapText="1"/>
    </xf>
    <xf numFmtId="0" fontId="54" fillId="0" borderId="10" xfId="35" applyFont="1" applyFill="1" applyBorder="1" applyAlignment="1">
      <alignment horizontal="left" vertical="center" wrapText="1"/>
    </xf>
    <xf numFmtId="0" fontId="41" fillId="0" borderId="10" xfId="35" applyFont="1" applyFill="1" applyBorder="1" applyAlignment="1" applyProtection="1">
      <alignment wrapText="1"/>
    </xf>
    <xf numFmtId="0" fontId="40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left" vertical="center" wrapText="1"/>
    </xf>
    <xf numFmtId="2" fontId="40" fillId="0" borderId="10" xfId="35" applyNumberFormat="1" applyFont="1" applyFill="1" applyBorder="1" applyAlignment="1" applyProtection="1">
      <alignment horizontal="center" vertical="center" wrapText="1"/>
    </xf>
    <xf numFmtId="169" fontId="40" fillId="0" borderId="10" xfId="35" applyNumberFormat="1" applyFont="1" applyFill="1" applyBorder="1" applyAlignment="1" applyProtection="1">
      <alignment horizontal="center" vertical="center" wrapText="1"/>
    </xf>
    <xf numFmtId="2" fontId="49" fillId="0" borderId="10" xfId="36" applyNumberFormat="1" applyFont="1" applyFill="1" applyBorder="1" applyAlignment="1">
      <alignment horizontal="center" vertical="center"/>
    </xf>
    <xf numFmtId="49" fontId="10" fillId="0" borderId="10" xfId="35" applyNumberFormat="1" applyFont="1" applyFill="1" applyBorder="1" applyAlignment="1" applyProtection="1">
      <alignment horizontal="center" vertical="center" wrapText="1"/>
    </xf>
    <xf numFmtId="2" fontId="10" fillId="0" borderId="10" xfId="35" applyNumberFormat="1" applyFont="1" applyFill="1" applyBorder="1" applyAlignment="1" applyProtection="1">
      <alignment horizontal="center" vertical="center" wrapText="1"/>
    </xf>
    <xf numFmtId="2" fontId="56" fillId="0" borderId="10" xfId="35" applyNumberFormat="1" applyFont="1" applyFill="1" applyBorder="1" applyAlignment="1" applyProtection="1">
      <alignment horizontal="center" vertical="center"/>
      <protection locked="0"/>
    </xf>
    <xf numFmtId="0" fontId="40" fillId="0" borderId="10" xfId="35" applyFont="1" applyFill="1" applyBorder="1" applyAlignment="1" applyProtection="1">
      <alignment horizontal="left" vertical="center" wrapText="1"/>
    </xf>
    <xf numFmtId="0" fontId="62" fillId="0" borderId="15" xfId="70" applyFont="1" applyFill="1" applyBorder="1" applyAlignment="1">
      <alignment horizontal="left" vertical="center" wrapText="1"/>
    </xf>
    <xf numFmtId="2" fontId="49" fillId="0" borderId="11" xfId="54" applyNumberFormat="1" applyFont="1" applyFill="1" applyBorder="1" applyAlignment="1">
      <alignment horizontal="center" vertical="center" wrapText="1"/>
    </xf>
    <xf numFmtId="170" fontId="13" fillId="0" borderId="11" xfId="54" applyNumberFormat="1" applyFont="1" applyFill="1" applyBorder="1" applyAlignment="1">
      <alignment horizontal="center" vertical="center" wrapText="1"/>
    </xf>
    <xf numFmtId="0" fontId="40" fillId="0" borderId="10" xfId="40" applyFont="1" applyFill="1" applyBorder="1" applyAlignment="1">
      <alignment horizontal="left" vertical="center" wrapText="1"/>
    </xf>
    <xf numFmtId="3" fontId="13" fillId="0" borderId="11" xfId="54" applyNumberFormat="1" applyFont="1" applyFill="1" applyBorder="1" applyAlignment="1">
      <alignment horizontal="center" vertical="center" wrapText="1"/>
    </xf>
    <xf numFmtId="3" fontId="41" fillId="0" borderId="10" xfId="35" applyNumberFormat="1" applyFont="1" applyFill="1" applyBorder="1" applyAlignment="1">
      <alignment horizontal="center" vertical="center"/>
    </xf>
    <xf numFmtId="2" fontId="54" fillId="0" borderId="10" xfId="54" applyNumberFormat="1" applyFont="1" applyFill="1" applyBorder="1" applyAlignment="1">
      <alignment horizontal="center" vertical="center" wrapText="1"/>
    </xf>
    <xf numFmtId="3" fontId="54" fillId="0" borderId="10" xfId="54" applyNumberFormat="1" applyFont="1" applyFill="1" applyBorder="1" applyAlignment="1">
      <alignment horizontal="center" vertical="center" wrapText="1"/>
    </xf>
    <xf numFmtId="2" fontId="10" fillId="0" borderId="10" xfId="40" applyNumberFormat="1" applyFont="1" applyFill="1" applyBorder="1" applyAlignment="1">
      <alignment vertical="center" wrapText="1"/>
    </xf>
    <xf numFmtId="2" fontId="40" fillId="0" borderId="10" xfId="61" applyNumberFormat="1" applyFont="1" applyFill="1" applyBorder="1" applyAlignment="1">
      <alignment horizontal="center" vertical="center"/>
    </xf>
    <xf numFmtId="2" fontId="41" fillId="0" borderId="10" xfId="61" applyNumberFormat="1" applyFont="1" applyFill="1" applyBorder="1" applyAlignment="1">
      <alignment horizontal="center" vertical="center"/>
    </xf>
    <xf numFmtId="0" fontId="53" fillId="27" borderId="10" xfId="36" applyFont="1" applyFill="1" applyBorder="1" applyAlignment="1">
      <alignment vertical="center" wrapText="1"/>
    </xf>
    <xf numFmtId="0" fontId="40" fillId="0" borderId="16" xfId="67" applyFont="1" applyFill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64" fontId="40" fillId="0" borderId="10" xfId="57" applyNumberFormat="1" applyFont="1" applyFill="1" applyBorder="1" applyAlignment="1">
      <alignment horizontal="center" vertical="center"/>
    </xf>
    <xf numFmtId="0" fontId="10" fillId="27" borderId="10" xfId="36" applyFont="1" applyFill="1" applyBorder="1" applyAlignment="1">
      <alignment vertical="center" wrapText="1"/>
    </xf>
    <xf numFmtId="2" fontId="40" fillId="0" borderId="10" xfId="63" applyNumberFormat="1" applyFont="1" applyFill="1" applyBorder="1" applyAlignment="1">
      <alignment horizontal="center" vertical="center"/>
    </xf>
    <xf numFmtId="0" fontId="40" fillId="0" borderId="10" xfId="54" applyFont="1" applyFill="1" applyBorder="1" applyAlignment="1">
      <alignment horizontal="center" vertical="center" wrapText="1"/>
    </xf>
    <xf numFmtId="2" fontId="63" fillId="0" borderId="10" xfId="40" applyNumberFormat="1" applyFont="1" applyFill="1" applyBorder="1" applyAlignment="1">
      <alignment horizontal="center" vertical="center"/>
    </xf>
    <xf numFmtId="0" fontId="10" fillId="0" borderId="10" xfId="40" applyFont="1" applyFill="1" applyBorder="1" applyAlignment="1">
      <alignment horizontal="center" vertical="center" wrapText="1"/>
    </xf>
    <xf numFmtId="1" fontId="40" fillId="0" borderId="10" xfId="52" applyNumberFormat="1" applyFont="1" applyFill="1" applyBorder="1" applyAlignment="1" applyProtection="1">
      <alignment horizontal="center" vertical="center" wrapText="1"/>
    </xf>
    <xf numFmtId="169" fontId="41" fillId="0" borderId="10" xfId="58" applyNumberFormat="1" applyFont="1" applyFill="1" applyBorder="1" applyAlignment="1">
      <alignment horizontal="center" vertical="center"/>
    </xf>
    <xf numFmtId="170" fontId="41" fillId="0" borderId="15" xfId="36" applyNumberFormat="1" applyFont="1" applyFill="1" applyBorder="1" applyAlignment="1" applyProtection="1">
      <alignment horizontal="center" vertical="center" wrapText="1"/>
    </xf>
    <xf numFmtId="2" fontId="42" fillId="0" borderId="10" xfId="40" applyNumberFormat="1" applyFont="1" applyFill="1" applyBorder="1" applyAlignment="1">
      <alignment horizontal="center" vertical="center"/>
    </xf>
    <xf numFmtId="4" fontId="41" fillId="0" borderId="10" xfId="40" applyNumberFormat="1" applyFont="1" applyFill="1" applyBorder="1" applyAlignment="1">
      <alignment horizontal="center" vertical="center" wrapText="1"/>
    </xf>
    <xf numFmtId="170" fontId="41" fillId="0" borderId="15" xfId="68" applyNumberFormat="1" applyFont="1" applyFill="1" applyBorder="1" applyAlignment="1" applyProtection="1">
      <alignment horizontal="center" vertical="center" wrapText="1"/>
    </xf>
    <xf numFmtId="170" fontId="41" fillId="0" borderId="10" xfId="35" applyNumberFormat="1" applyFont="1" applyFill="1" applyBorder="1" applyAlignment="1">
      <alignment horizontal="center" vertical="center" wrapText="1"/>
    </xf>
    <xf numFmtId="164" fontId="13" fillId="0" borderId="10" xfId="54" applyNumberFormat="1" applyFont="1" applyFill="1" applyBorder="1" applyAlignment="1">
      <alignment horizontal="center" vertical="center" wrapText="1"/>
    </xf>
    <xf numFmtId="2" fontId="41" fillId="0" borderId="10" xfId="67" applyNumberFormat="1" applyFont="1" applyFill="1" applyBorder="1" applyAlignment="1">
      <alignment horizontal="center" vertical="center"/>
    </xf>
    <xf numFmtId="0" fontId="58" fillId="0" borderId="10" xfId="54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10" xfId="54" applyFont="1" applyFill="1" applyBorder="1" applyAlignment="1">
      <alignment horizontal="center" vertical="center" wrapText="1"/>
    </xf>
    <xf numFmtId="0" fontId="13" fillId="0" borderId="10" xfId="40" applyFont="1" applyFill="1" applyBorder="1" applyAlignment="1">
      <alignment horizontal="center" vertical="center" wrapText="1"/>
    </xf>
    <xf numFmtId="0" fontId="8" fillId="0" borderId="10" xfId="35" applyNumberFormat="1" applyFont="1" applyFill="1" applyBorder="1" applyAlignment="1" applyProtection="1">
      <alignment horizontal="center" vertical="center" wrapText="1"/>
    </xf>
    <xf numFmtId="0" fontId="8" fillId="0" borderId="0" xfId="58" applyFont="1" applyFill="1" applyBorder="1" applyAlignment="1">
      <alignment vertical="center"/>
    </xf>
    <xf numFmtId="3" fontId="8" fillId="0" borderId="0" xfId="38" applyNumberFormat="1" applyFont="1" applyFill="1" applyAlignment="1">
      <alignment horizontal="left" vertical="top"/>
    </xf>
    <xf numFmtId="3" fontId="8" fillId="0" borderId="0" xfId="38" applyNumberFormat="1" applyFont="1" applyFill="1" applyAlignment="1">
      <alignment horizontal="left" vertical="top" wrapText="1"/>
    </xf>
    <xf numFmtId="3" fontId="8" fillId="0" borderId="0" xfId="38" applyNumberFormat="1" applyFont="1" applyFill="1" applyAlignment="1">
      <alignment vertical="top" wrapText="1"/>
    </xf>
    <xf numFmtId="0" fontId="46" fillId="0" borderId="0" xfId="58" applyFont="1" applyFill="1" applyBorder="1" applyAlignment="1">
      <alignment vertical="center"/>
    </xf>
    <xf numFmtId="166" fontId="46" fillId="0" borderId="0" xfId="58" applyNumberFormat="1" applyFont="1" applyFill="1" applyBorder="1" applyAlignment="1">
      <alignment horizontal="center" vertical="center"/>
    </xf>
    <xf numFmtId="165" fontId="46" fillId="0" borderId="0" xfId="58" applyNumberFormat="1" applyFont="1" applyFill="1" applyBorder="1" applyAlignment="1">
      <alignment horizontal="center" vertical="center" wrapText="1"/>
    </xf>
    <xf numFmtId="166" fontId="46" fillId="0" borderId="0" xfId="58" applyNumberFormat="1" applyFont="1" applyFill="1" applyBorder="1" applyAlignment="1">
      <alignment horizontal="center" vertical="center" wrapText="1"/>
    </xf>
    <xf numFmtId="0" fontId="11" fillId="0" borderId="0" xfId="58" applyFont="1" applyFill="1" applyBorder="1" applyAlignment="1">
      <alignment horizontal="center" vertical="center" wrapText="1"/>
    </xf>
    <xf numFmtId="4" fontId="46" fillId="0" borderId="0" xfId="58" applyNumberFormat="1" applyFont="1" applyFill="1" applyBorder="1" applyAlignment="1">
      <alignment horizontal="center" vertical="center"/>
    </xf>
    <xf numFmtId="2" fontId="45" fillId="0" borderId="10" xfId="40" applyNumberFormat="1" applyFont="1" applyFill="1" applyBorder="1" applyAlignment="1">
      <alignment horizontal="center" vertical="center" wrapText="1"/>
    </xf>
    <xf numFmtId="169" fontId="45" fillId="0" borderId="15" xfId="67" applyNumberFormat="1" applyFont="1" applyFill="1" applyBorder="1" applyAlignment="1">
      <alignment horizontal="center" vertical="center" wrapText="1"/>
    </xf>
    <xf numFmtId="4" fontId="45" fillId="0" borderId="15" xfId="67" applyNumberFormat="1" applyFont="1" applyFill="1" applyBorder="1" applyAlignment="1">
      <alignment horizontal="center" vertical="center" wrapText="1"/>
    </xf>
    <xf numFmtId="1" fontId="45" fillId="0" borderId="15" xfId="67" applyNumberFormat="1" applyFont="1" applyFill="1" applyBorder="1" applyAlignment="1">
      <alignment horizontal="center" vertical="center" wrapText="1"/>
    </xf>
    <xf numFmtId="169" fontId="45" fillId="0" borderId="10" xfId="58" applyNumberFormat="1" applyFont="1" applyFill="1" applyBorder="1" applyAlignment="1">
      <alignment horizontal="center" vertical="center"/>
    </xf>
    <xf numFmtId="169" fontId="45" fillId="0" borderId="11" xfId="54" applyNumberFormat="1" applyFont="1" applyFill="1" applyBorder="1" applyAlignment="1">
      <alignment horizontal="center" vertical="center" wrapText="1"/>
    </xf>
    <xf numFmtId="1" fontId="45" fillId="0" borderId="15" xfId="36" applyNumberFormat="1" applyFont="1" applyFill="1" applyBorder="1" applyAlignment="1" applyProtection="1">
      <alignment horizontal="center" vertical="center" wrapText="1"/>
    </xf>
    <xf numFmtId="4" fontId="45" fillId="0" borderId="15" xfId="36" applyNumberFormat="1" applyFont="1" applyFill="1" applyBorder="1" applyAlignment="1" applyProtection="1">
      <alignment horizontal="center" vertical="center" wrapText="1"/>
    </xf>
    <xf numFmtId="1" fontId="45" fillId="0" borderId="10" xfId="54" applyNumberFormat="1" applyFont="1" applyFill="1" applyBorder="1" applyAlignment="1">
      <alignment horizontal="center" vertical="center" wrapText="1"/>
    </xf>
    <xf numFmtId="169" fontId="45" fillId="0" borderId="15" xfId="36" applyNumberFormat="1" applyFont="1" applyFill="1" applyBorder="1" applyAlignment="1" applyProtection="1">
      <alignment horizontal="center" vertical="center" wrapText="1"/>
    </xf>
    <xf numFmtId="1" fontId="45" fillId="0" borderId="10" xfId="52" applyNumberFormat="1" applyFont="1" applyFill="1" applyBorder="1" applyAlignment="1" applyProtection="1">
      <alignment horizontal="center" vertical="center" wrapText="1"/>
    </xf>
    <xf numFmtId="49" fontId="45" fillId="0" borderId="15" xfId="67" applyNumberFormat="1" applyFont="1" applyFill="1" applyBorder="1" applyAlignment="1">
      <alignment horizontal="center" vertical="center" wrapText="1"/>
    </xf>
    <xf numFmtId="2" fontId="45" fillId="0" borderId="15" xfId="67" applyNumberFormat="1" applyFont="1" applyFill="1" applyBorder="1" applyAlignment="1">
      <alignment horizontal="center" vertical="center" wrapText="1"/>
    </xf>
    <xf numFmtId="0" fontId="45" fillId="0" borderId="15" xfId="67" applyNumberFormat="1" applyFont="1" applyFill="1" applyBorder="1" applyAlignment="1">
      <alignment horizontal="center" vertical="center" wrapText="1"/>
    </xf>
    <xf numFmtId="2" fontId="45" fillId="0" borderId="15" xfId="68" applyNumberFormat="1" applyFont="1" applyFill="1" applyBorder="1" applyAlignment="1" applyProtection="1">
      <alignment horizontal="center" vertical="center" wrapText="1"/>
    </xf>
    <xf numFmtId="2" fontId="45" fillId="0" borderId="15" xfId="36" applyNumberFormat="1" applyFont="1" applyFill="1" applyBorder="1" applyAlignment="1" applyProtection="1">
      <alignment horizontal="center" vertical="center" wrapText="1"/>
    </xf>
    <xf numFmtId="169" fontId="45" fillId="0" borderId="10" xfId="54" applyNumberFormat="1" applyFont="1" applyFill="1" applyBorder="1" applyAlignment="1">
      <alignment horizontal="center" vertical="center" wrapText="1"/>
    </xf>
    <xf numFmtId="1" fontId="45" fillId="0" borderId="15" xfId="68" applyNumberFormat="1" applyFont="1" applyFill="1" applyBorder="1" applyAlignment="1" applyProtection="1">
      <alignment horizontal="center" vertical="center" wrapText="1"/>
    </xf>
    <xf numFmtId="169" fontId="45" fillId="0" borderId="15" xfId="68" applyNumberFormat="1" applyFont="1" applyFill="1" applyBorder="1" applyAlignment="1" applyProtection="1">
      <alignment horizontal="center" vertical="center" wrapText="1"/>
    </xf>
    <xf numFmtId="4" fontId="45" fillId="0" borderId="15" xfId="68" applyNumberFormat="1" applyFont="1" applyFill="1" applyBorder="1" applyAlignment="1" applyProtection="1">
      <alignment horizontal="center" vertical="center" wrapText="1"/>
    </xf>
    <xf numFmtId="4" fontId="54" fillId="0" borderId="10" xfId="54" applyNumberFormat="1" applyFont="1" applyFill="1" applyBorder="1" applyAlignment="1">
      <alignment horizontal="center" vertical="center" wrapText="1"/>
    </xf>
    <xf numFmtId="4" fontId="49" fillId="0" borderId="10" xfId="54" applyNumberFormat="1" applyFont="1" applyFill="1" applyBorder="1" applyAlignment="1">
      <alignment horizontal="center" vertical="center" wrapText="1"/>
    </xf>
    <xf numFmtId="4" fontId="41" fillId="0" borderId="11" xfId="58" applyNumberFormat="1" applyFont="1" applyFill="1" applyBorder="1" applyAlignment="1">
      <alignment horizontal="center" vertical="center"/>
    </xf>
    <xf numFmtId="0" fontId="45" fillId="0" borderId="15" xfId="36" applyNumberFormat="1" applyFont="1" applyFill="1" applyBorder="1" applyAlignment="1" applyProtection="1">
      <alignment horizontal="center" vertical="center" wrapText="1"/>
    </xf>
    <xf numFmtId="2" fontId="45" fillId="0" borderId="10" xfId="36" applyNumberFormat="1" applyFont="1" applyFill="1" applyBorder="1" applyAlignment="1">
      <alignment horizontal="center" vertical="center"/>
    </xf>
    <xf numFmtId="2" fontId="67" fillId="0" borderId="10" xfId="54" applyNumberFormat="1" applyFont="1" applyFill="1" applyBorder="1" applyAlignment="1">
      <alignment horizontal="center" vertical="center" wrapText="1"/>
    </xf>
    <xf numFmtId="171" fontId="67" fillId="0" borderId="11" xfId="54" applyNumberFormat="1" applyFont="1" applyFill="1" applyBorder="1" applyAlignment="1">
      <alignment horizontal="center" vertical="center" wrapText="1"/>
    </xf>
    <xf numFmtId="1" fontId="5" fillId="0" borderId="10" xfId="58" applyNumberFormat="1" applyFont="1" applyFill="1" applyBorder="1" applyAlignment="1">
      <alignment horizontal="center" vertical="center"/>
    </xf>
    <xf numFmtId="4" fontId="5" fillId="0" borderId="11" xfId="54" applyNumberFormat="1" applyFont="1" applyFill="1" applyBorder="1" applyAlignment="1">
      <alignment horizontal="center" vertical="center" wrapText="1"/>
    </xf>
    <xf numFmtId="4" fontId="5" fillId="0" borderId="10" xfId="58" applyNumberFormat="1" applyFont="1" applyFill="1" applyBorder="1" applyAlignment="1">
      <alignment horizontal="center" vertical="center"/>
    </xf>
    <xf numFmtId="2" fontId="5" fillId="0" borderId="11" xfId="54" applyNumberFormat="1" applyFont="1" applyFill="1" applyBorder="1" applyAlignment="1">
      <alignment horizontal="center" vertical="center" wrapText="1"/>
    </xf>
    <xf numFmtId="4" fontId="45" fillId="0" borderId="10" xfId="58" applyNumberFormat="1" applyFont="1" applyFill="1" applyBorder="1" applyAlignment="1">
      <alignment horizontal="center" vertical="center"/>
    </xf>
    <xf numFmtId="4" fontId="45" fillId="0" borderId="11" xfId="54" applyNumberFormat="1" applyFont="1" applyFill="1" applyBorder="1" applyAlignment="1">
      <alignment horizontal="center" vertical="center" wrapText="1"/>
    </xf>
    <xf numFmtId="2" fontId="41" fillId="0" borderId="15" xfId="67" applyNumberFormat="1" applyFont="1" applyFill="1" applyBorder="1" applyAlignment="1">
      <alignment horizontal="center" vertical="center" wrapText="1"/>
    </xf>
    <xf numFmtId="2" fontId="45" fillId="0" borderId="10" xfId="58" applyNumberFormat="1" applyFont="1" applyFill="1" applyBorder="1" applyAlignment="1">
      <alignment horizontal="center" vertical="center"/>
    </xf>
    <xf numFmtId="2" fontId="45" fillId="0" borderId="11" xfId="54" applyNumberFormat="1" applyFont="1" applyFill="1" applyBorder="1" applyAlignment="1">
      <alignment horizontal="center" vertical="center" wrapText="1"/>
    </xf>
    <xf numFmtId="2" fontId="45" fillId="0" borderId="10" xfId="52" applyNumberFormat="1" applyFont="1" applyFill="1" applyBorder="1" applyAlignment="1" applyProtection="1">
      <alignment horizontal="center" vertical="center" wrapText="1"/>
    </xf>
    <xf numFmtId="4" fontId="45" fillId="0" borderId="10" xfId="52" applyNumberFormat="1" applyFont="1" applyFill="1" applyBorder="1" applyAlignment="1" applyProtection="1">
      <alignment horizontal="center" vertical="center" wrapText="1"/>
    </xf>
    <xf numFmtId="2" fontId="44" fillId="25" borderId="10" xfId="58" applyNumberFormat="1" applyFont="1" applyFill="1" applyBorder="1" applyAlignment="1">
      <alignment horizontal="center" vertical="center" wrapText="1"/>
    </xf>
    <xf numFmtId="0" fontId="11" fillId="24" borderId="10" xfId="34" applyFont="1" applyFill="1" applyBorder="1" applyAlignment="1" applyProtection="1">
      <alignment horizontal="center" vertical="center"/>
    </xf>
    <xf numFmtId="0" fontId="7" fillId="24" borderId="10" xfId="34" applyFont="1" applyFill="1" applyBorder="1"/>
    <xf numFmtId="0" fontId="5" fillId="25" borderId="12" xfId="34" applyFont="1" applyFill="1" applyBorder="1" applyAlignment="1" applyProtection="1">
      <alignment horizontal="center" vertical="center"/>
    </xf>
    <xf numFmtId="0" fontId="10" fillId="0" borderId="0" xfId="34" applyFont="1" applyFill="1" applyAlignment="1">
      <alignment horizontal="left" indent="1"/>
    </xf>
    <xf numFmtId="0" fontId="10" fillId="0" borderId="0" xfId="34" applyFont="1" applyAlignment="1">
      <alignment horizontal="left" indent="1"/>
    </xf>
    <xf numFmtId="0" fontId="8" fillId="28" borderId="12" xfId="35" applyFont="1" applyFill="1" applyBorder="1" applyAlignment="1" applyProtection="1">
      <alignment horizontal="center" vertical="center" wrapText="1"/>
    </xf>
    <xf numFmtId="0" fontId="8" fillId="28" borderId="15" xfId="35" applyFont="1" applyFill="1" applyBorder="1" applyAlignment="1" applyProtection="1">
      <alignment horizontal="center" vertical="center" wrapText="1"/>
    </xf>
    <xf numFmtId="0" fontId="11" fillId="24" borderId="21" xfId="34" applyFont="1" applyFill="1" applyBorder="1" applyAlignment="1" applyProtection="1">
      <alignment horizontal="center" vertical="center" wrapText="1"/>
    </xf>
    <xf numFmtId="0" fontId="11" fillId="24" borderId="22" xfId="34" applyFont="1" applyFill="1" applyBorder="1" applyAlignment="1" applyProtection="1">
      <alignment horizontal="center" vertical="center" wrapText="1"/>
    </xf>
    <xf numFmtId="0" fontId="22" fillId="0" borderId="0" xfId="38" applyFont="1" applyAlignment="1">
      <alignment horizontal="center" vertical="center" wrapText="1"/>
    </xf>
    <xf numFmtId="0" fontId="8" fillId="0" borderId="0" xfId="38" applyFont="1" applyAlignment="1">
      <alignment horizontal="center" vertical="center" wrapText="1"/>
    </xf>
    <xf numFmtId="0" fontId="10" fillId="0" borderId="0" xfId="34" applyFont="1" applyFill="1" applyAlignment="1">
      <alignment horizontal="right"/>
    </xf>
    <xf numFmtId="0" fontId="5" fillId="25" borderId="11" xfId="34" applyNumberFormat="1" applyFont="1" applyFill="1" applyBorder="1" applyAlignment="1" applyProtection="1">
      <alignment horizontal="center" vertical="center" wrapText="1"/>
    </xf>
    <xf numFmtId="0" fontId="5" fillId="25" borderId="16" xfId="34" applyNumberFormat="1" applyFont="1" applyFill="1" applyBorder="1" applyAlignment="1" applyProtection="1">
      <alignment horizontal="center" vertical="center" wrapText="1"/>
    </xf>
    <xf numFmtId="0" fontId="8" fillId="0" borderId="12" xfId="34" applyFont="1" applyFill="1" applyBorder="1" applyAlignment="1" applyProtection="1">
      <alignment horizontal="center" vertical="center" wrapText="1"/>
    </xf>
    <xf numFmtId="0" fontId="8" fillId="0" borderId="15" xfId="34" applyFont="1" applyFill="1" applyBorder="1" applyAlignment="1" applyProtection="1">
      <alignment horizontal="center" vertical="center" wrapText="1"/>
    </xf>
    <xf numFmtId="0" fontId="8" fillId="0" borderId="17" xfId="34" applyFont="1" applyFill="1" applyBorder="1" applyAlignment="1" applyProtection="1">
      <alignment horizontal="center" vertical="center" wrapText="1"/>
    </xf>
    <xf numFmtId="0" fontId="8" fillId="0" borderId="20" xfId="34" applyFont="1" applyFill="1" applyBorder="1" applyAlignment="1" applyProtection="1">
      <alignment horizontal="center" vertical="center" wrapText="1"/>
    </xf>
    <xf numFmtId="3" fontId="8" fillId="0" borderId="0" xfId="38" applyNumberFormat="1" applyFont="1" applyFill="1" applyAlignment="1">
      <alignment horizontal="left" vertical="top" wrapText="1"/>
    </xf>
    <xf numFmtId="0" fontId="41" fillId="0" borderId="12" xfId="58" applyFont="1" applyFill="1" applyBorder="1" applyAlignment="1">
      <alignment horizontal="center" vertical="center" wrapText="1"/>
    </xf>
    <xf numFmtId="0" fontId="41" fillId="0" borderId="19" xfId="58" applyFont="1" applyFill="1" applyBorder="1" applyAlignment="1">
      <alignment horizontal="center" vertical="center" wrapText="1"/>
    </xf>
    <xf numFmtId="0" fontId="41" fillId="0" borderId="15" xfId="58" applyFont="1" applyFill="1" applyBorder="1" applyAlignment="1">
      <alignment horizontal="center" vertical="center" wrapText="1"/>
    </xf>
    <xf numFmtId="0" fontId="44" fillId="25" borderId="10" xfId="58" applyFont="1" applyFill="1" applyBorder="1" applyAlignment="1">
      <alignment horizontal="left" vertical="center"/>
    </xf>
    <xf numFmtId="0" fontId="44" fillId="25" borderId="10" xfId="58" applyFont="1" applyFill="1" applyBorder="1" applyAlignment="1">
      <alignment vertical="center"/>
    </xf>
    <xf numFmtId="0" fontId="13" fillId="0" borderId="11" xfId="58" applyFont="1" applyFill="1" applyBorder="1" applyAlignment="1">
      <alignment horizontal="left" vertical="center" wrapText="1"/>
    </xf>
    <xf numFmtId="0" fontId="13" fillId="0" borderId="13" xfId="58" applyFont="1" applyFill="1" applyBorder="1" applyAlignment="1">
      <alignment horizontal="left" vertical="center" wrapText="1"/>
    </xf>
    <xf numFmtId="0" fontId="13" fillId="0" borderId="16" xfId="58" applyFont="1" applyFill="1" applyBorder="1" applyAlignment="1">
      <alignment horizontal="left" vertical="center" wrapText="1"/>
    </xf>
    <xf numFmtId="0" fontId="13" fillId="0" borderId="11" xfId="58" applyFont="1" applyFill="1" applyBorder="1" applyAlignment="1">
      <alignment horizontal="left" vertical="center"/>
    </xf>
    <xf numFmtId="0" fontId="13" fillId="0" borderId="13" xfId="58" applyFont="1" applyFill="1" applyBorder="1" applyAlignment="1">
      <alignment horizontal="left" vertical="center"/>
    </xf>
    <xf numFmtId="0" fontId="13" fillId="0" borderId="16" xfId="58" applyFont="1" applyFill="1" applyBorder="1" applyAlignment="1">
      <alignment horizontal="left" vertical="center"/>
    </xf>
    <xf numFmtId="0" fontId="10" fillId="0" borderId="0" xfId="53" applyFont="1" applyAlignment="1" applyProtection="1">
      <alignment horizontal="left"/>
      <protection hidden="1"/>
    </xf>
    <xf numFmtId="0" fontId="40" fillId="0" borderId="0" xfId="58" applyFont="1" applyFill="1" applyAlignment="1">
      <alignment horizontal="left" wrapText="1"/>
    </xf>
    <xf numFmtId="0" fontId="13" fillId="0" borderId="11" xfId="58" applyFont="1" applyFill="1" applyBorder="1" applyAlignment="1">
      <alignment horizontal="left"/>
    </xf>
    <xf numFmtId="0" fontId="13" fillId="0" borderId="13" xfId="58" applyFont="1" applyFill="1" applyBorder="1" applyAlignment="1">
      <alignment horizontal="left"/>
    </xf>
    <xf numFmtId="0" fontId="13" fillId="0" borderId="16" xfId="58" applyFont="1" applyFill="1" applyBorder="1" applyAlignment="1">
      <alignment horizontal="left"/>
    </xf>
    <xf numFmtId="0" fontId="46" fillId="25" borderId="10" xfId="58" applyFont="1" applyFill="1" applyBorder="1" applyAlignment="1">
      <alignment vertical="center"/>
    </xf>
    <xf numFmtId="0" fontId="44" fillId="25" borderId="11" xfId="58" applyFont="1" applyFill="1" applyBorder="1" applyAlignment="1">
      <alignment vertical="center"/>
    </xf>
    <xf numFmtId="0" fontId="44" fillId="25" borderId="13" xfId="58" applyFont="1" applyFill="1" applyBorder="1" applyAlignment="1">
      <alignment vertical="center"/>
    </xf>
    <xf numFmtId="0" fontId="44" fillId="25" borderId="16" xfId="58" applyFont="1" applyFill="1" applyBorder="1" applyAlignment="1">
      <alignment vertical="center"/>
    </xf>
    <xf numFmtId="0" fontId="11" fillId="0" borderId="11" xfId="58" applyFont="1" applyFill="1" applyBorder="1" applyAlignment="1">
      <alignment horizontal="left"/>
    </xf>
    <xf numFmtId="0" fontId="11" fillId="0" borderId="13" xfId="58" applyFont="1" applyFill="1" applyBorder="1" applyAlignment="1">
      <alignment horizontal="left"/>
    </xf>
    <xf numFmtId="0" fontId="11" fillId="0" borderId="16" xfId="58" applyFont="1" applyFill="1" applyBorder="1" applyAlignment="1">
      <alignment horizontal="left"/>
    </xf>
    <xf numFmtId="0" fontId="10" fillId="0" borderId="12" xfId="58" applyFont="1" applyFill="1" applyBorder="1" applyAlignment="1">
      <alignment horizontal="center" vertical="center" wrapText="1"/>
    </xf>
    <xf numFmtId="0" fontId="10" fillId="0" borderId="15" xfId="58" applyFont="1" applyFill="1" applyBorder="1" applyAlignment="1">
      <alignment horizontal="center" vertical="center" wrapText="1"/>
    </xf>
    <xf numFmtId="0" fontId="10" fillId="0" borderId="19" xfId="58" applyFont="1" applyFill="1" applyBorder="1" applyAlignment="1">
      <alignment horizontal="center" vertical="center" wrapText="1"/>
    </xf>
    <xf numFmtId="0" fontId="47" fillId="24" borderId="11" xfId="34" applyFont="1" applyFill="1" applyBorder="1" applyAlignment="1" applyProtection="1">
      <alignment horizontal="center" vertical="top" wrapText="1"/>
    </xf>
    <xf numFmtId="0" fontId="47" fillId="24" borderId="13" xfId="34" applyFont="1" applyFill="1" applyBorder="1" applyAlignment="1" applyProtection="1">
      <alignment horizontal="center" vertical="top" wrapText="1"/>
    </xf>
    <xf numFmtId="0" fontId="47" fillId="24" borderId="16" xfId="34" applyFont="1" applyFill="1" applyBorder="1" applyAlignment="1" applyProtection="1">
      <alignment horizontal="center" vertical="top" wrapText="1"/>
    </xf>
    <xf numFmtId="0" fontId="14" fillId="0" borderId="12" xfId="58" applyFont="1" applyFill="1" applyBorder="1" applyAlignment="1">
      <alignment horizontal="center" vertical="center" wrapText="1"/>
    </xf>
    <xf numFmtId="0" fontId="14" fillId="0" borderId="19" xfId="58" applyFont="1" applyFill="1" applyBorder="1" applyAlignment="1">
      <alignment horizontal="center" vertical="center" wrapText="1"/>
    </xf>
    <xf numFmtId="0" fontId="14" fillId="0" borderId="15" xfId="58" applyFont="1" applyFill="1" applyBorder="1" applyAlignment="1">
      <alignment horizontal="center" vertical="center" wrapText="1"/>
    </xf>
    <xf numFmtId="0" fontId="10" fillId="0" borderId="17" xfId="58" applyFont="1" applyFill="1" applyBorder="1" applyAlignment="1">
      <alignment horizontal="center" vertical="center" wrapText="1"/>
    </xf>
    <xf numFmtId="0" fontId="10" fillId="0" borderId="20" xfId="58" applyFont="1" applyFill="1" applyBorder="1" applyAlignment="1">
      <alignment horizontal="center" vertical="center" wrapText="1"/>
    </xf>
    <xf numFmtId="0" fontId="10" fillId="0" borderId="18" xfId="58" applyFont="1" applyFill="1" applyBorder="1" applyAlignment="1">
      <alignment horizontal="center" vertical="center" wrapText="1"/>
    </xf>
    <xf numFmtId="0" fontId="10" fillId="0" borderId="21" xfId="58" applyFont="1" applyFill="1" applyBorder="1" applyAlignment="1">
      <alignment horizontal="center" vertical="center" wrapText="1"/>
    </xf>
    <xf numFmtId="0" fontId="10" fillId="0" borderId="22" xfId="58" applyFont="1" applyFill="1" applyBorder="1" applyAlignment="1">
      <alignment horizontal="center" vertical="center" wrapText="1"/>
    </xf>
    <xf numFmtId="0" fontId="10" fillId="0" borderId="23" xfId="58" applyFont="1" applyFill="1" applyBorder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</xf>
    <xf numFmtId="0" fontId="10" fillId="0" borderId="10" xfId="58" applyFont="1" applyFill="1" applyBorder="1" applyAlignment="1">
      <alignment horizontal="center" vertical="center" wrapText="1"/>
    </xf>
    <xf numFmtId="0" fontId="10" fillId="0" borderId="11" xfId="58" applyFont="1" applyFill="1" applyBorder="1" applyAlignment="1">
      <alignment horizontal="center" vertical="center" wrapText="1"/>
    </xf>
    <xf numFmtId="0" fontId="10" fillId="0" borderId="13" xfId="58" applyFont="1" applyFill="1" applyBorder="1" applyAlignment="1">
      <alignment horizontal="center" vertical="center" wrapText="1"/>
    </xf>
  </cellXfs>
  <cellStyles count="7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au?iue" xfId="34"/>
    <cellStyle name="Iau?iue 2" xfId="35"/>
    <cellStyle name="Iau?iue 2 2" xfId="36"/>
    <cellStyle name="Iau?iue 2 2 2" xfId="66"/>
    <cellStyle name="Iau?iue 2 2 2 2" xfId="68"/>
    <cellStyle name="Iau?iue 3" xfId="37"/>
    <cellStyle name="Iau?iue 3 2" xfId="38"/>
    <cellStyle name="Iau?iue 4" xfId="39"/>
    <cellStyle name="Iau?iue_dodatok 3" xfId="58"/>
    <cellStyle name="Iau?iue_ІП-2015 20.06.14" xfId="57"/>
    <cellStyle name="Iau?iue_ІП-2015 28.07.14" xfId="63"/>
    <cellStyle name="Iau?iue_ІР2014 підрядники" xfId="69"/>
    <cellStyle name="Iau?iue_Пропозиції до ІП_2013 7 розділ" xfId="40"/>
    <cellStyle name="Input" xfId="41"/>
    <cellStyle name="Linked Cell" xfId="42"/>
    <cellStyle name="Neutral" xfId="43"/>
    <cellStyle name="Note" xfId="44"/>
    <cellStyle name="Output" xfId="45"/>
    <cellStyle name="Title" xfId="46"/>
    <cellStyle name="Total" xfId="47"/>
    <cellStyle name="Warning Text" xfId="48"/>
    <cellStyle name="Звичайний_445583" xfId="59"/>
    <cellStyle name="Обычный" xfId="0" builtinId="0"/>
    <cellStyle name="Обычный 2" xfId="49"/>
    <cellStyle name="Обычный 2 2" xfId="61"/>
    <cellStyle name="Обычный 2 4" xfId="62"/>
    <cellStyle name="Обычный 2 4 2" xfId="67"/>
    <cellStyle name="Обычный 3" xfId="50"/>
    <cellStyle name="Обычный 7" xfId="70"/>
    <cellStyle name="Обычный_IP_2008_Оригинал" xfId="51"/>
    <cellStyle name="Обычный_IP_2008_Оригинал_31199" xfId="52"/>
    <cellStyle name="Обычный_IP_2008_Оригинал_new" xfId="65"/>
    <cellStyle name="Обычный_nkre1" xfId="53"/>
    <cellStyle name="Обычный_Проект_IP_2009_260608" xfId="54"/>
    <cellStyle name="Процентный" xfId="64" builtinId="5"/>
    <cellStyle name="Процентный 2" xfId="55"/>
    <cellStyle name="Стиль 1" xfId="56"/>
    <cellStyle name="Стиль 1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I9"/>
  <sheetViews>
    <sheetView zoomScaleNormal="100" zoomScaleSheetLayoutView="100" workbookViewId="0">
      <selection activeCell="I20" sqref="I20"/>
    </sheetView>
  </sheetViews>
  <sheetFormatPr defaultRowHeight="12.75"/>
  <cols>
    <col min="1" max="1" width="29.7109375" style="3" customWidth="1"/>
    <col min="2" max="2" width="3.7109375" style="3" customWidth="1"/>
    <col min="3" max="3" width="21.28515625" style="3" customWidth="1"/>
    <col min="4" max="4" width="5.7109375" style="3" customWidth="1"/>
    <col min="5" max="5" width="22.140625" style="3" customWidth="1"/>
    <col min="6" max="16384" width="9.140625" style="3"/>
  </cols>
  <sheetData>
    <row r="1" spans="1:9" s="6" customFormat="1" ht="15.75">
      <c r="C1" s="429"/>
      <c r="D1" s="429"/>
      <c r="E1" s="429"/>
      <c r="F1" s="7"/>
      <c r="G1" s="7"/>
      <c r="H1" s="7"/>
      <c r="I1" s="7"/>
    </row>
    <row r="2" spans="1:9" s="6" customFormat="1" ht="15.75" customHeight="1">
      <c r="C2" s="429"/>
      <c r="D2" s="429"/>
      <c r="E2" s="429"/>
      <c r="F2" s="429"/>
      <c r="G2" s="7"/>
      <c r="H2" s="7"/>
      <c r="I2" s="7"/>
    </row>
    <row r="3" spans="1:9" s="6" customFormat="1" ht="15.75" customHeight="1">
      <c r="C3" s="430"/>
      <c r="D3" s="430"/>
      <c r="E3" s="430"/>
      <c r="F3" s="430"/>
      <c r="G3" s="430"/>
      <c r="H3" s="430"/>
      <c r="I3" s="430"/>
    </row>
    <row r="4" spans="1:9" s="6" customFormat="1" ht="15.75" customHeight="1">
      <c r="C4" s="430"/>
      <c r="D4" s="430"/>
      <c r="E4" s="430"/>
      <c r="F4" s="430"/>
      <c r="G4" s="5"/>
      <c r="H4" s="5"/>
      <c r="I4" s="5"/>
    </row>
    <row r="6" spans="1:9" ht="26.25" customHeight="1">
      <c r="A6" s="426" t="s">
        <v>13</v>
      </c>
      <c r="B6" s="427"/>
      <c r="C6" s="427"/>
      <c r="D6" s="427"/>
      <c r="E6" s="427"/>
    </row>
    <row r="7" spans="1:9" ht="29.25" customHeight="1" thickBot="1">
      <c r="A7" s="18" t="s">
        <v>16</v>
      </c>
      <c r="B7" s="428" t="s">
        <v>67</v>
      </c>
      <c r="C7" s="428"/>
      <c r="D7" s="428"/>
      <c r="E7" s="428"/>
    </row>
    <row r="8" spans="1:9" ht="26.25" customHeight="1" thickBot="1">
      <c r="A8" s="19" t="s">
        <v>14</v>
      </c>
      <c r="B8" s="21" t="s">
        <v>7</v>
      </c>
      <c r="C8" s="56">
        <v>44197</v>
      </c>
      <c r="D8" s="17" t="s">
        <v>10</v>
      </c>
      <c r="E8" s="56" t="s">
        <v>412</v>
      </c>
    </row>
    <row r="9" spans="1:9" ht="22.5" customHeight="1" thickBot="1">
      <c r="A9" s="20" t="s">
        <v>15</v>
      </c>
      <c r="B9" s="21" t="s">
        <v>7</v>
      </c>
      <c r="C9" s="56">
        <v>44197</v>
      </c>
      <c r="D9" s="17" t="s">
        <v>10</v>
      </c>
      <c r="E9" s="56">
        <v>44561</v>
      </c>
    </row>
  </sheetData>
  <mergeCells count="6">
    <mergeCell ref="A6:E6"/>
    <mergeCell ref="B7:E7"/>
    <mergeCell ref="C1:E1"/>
    <mergeCell ref="C2:F2"/>
    <mergeCell ref="C3:I3"/>
    <mergeCell ref="C4:F4"/>
  </mergeCells>
  <phoneticPr fontId="3" type="noConversion"/>
  <pageMargins left="0.67" right="0.39370078740157483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U28"/>
  <sheetViews>
    <sheetView view="pageBreakPreview" zoomScale="85" zoomScaleNormal="85" zoomScaleSheetLayoutView="85" zoomScalePageLayoutView="85" workbookViewId="0">
      <selection activeCell="G15" sqref="G15"/>
    </sheetView>
  </sheetViews>
  <sheetFormatPr defaultRowHeight="12.75"/>
  <cols>
    <col min="1" max="1" width="4.7109375" style="2" customWidth="1"/>
    <col min="2" max="2" width="29.85546875" style="2" customWidth="1"/>
    <col min="3" max="3" width="16.140625" style="2" customWidth="1"/>
    <col min="4" max="4" width="18.5703125" style="2" customWidth="1"/>
    <col min="5" max="5" width="18.7109375" style="2" customWidth="1"/>
    <col min="6" max="6" width="21.5703125" style="2" customWidth="1"/>
    <col min="7" max="7" width="17.28515625" style="2" customWidth="1"/>
    <col min="8" max="8" width="19.5703125" style="2" customWidth="1"/>
    <col min="9" max="9" width="19.7109375" style="2" customWidth="1"/>
    <col min="10" max="15" width="9.140625" style="2"/>
    <col min="16" max="16" width="11.7109375" style="2" bestFit="1" customWidth="1"/>
    <col min="17" max="17" width="11" style="2" customWidth="1"/>
    <col min="18" max="18" width="10.28515625" style="2" customWidth="1"/>
    <col min="19" max="19" width="11" style="2" customWidth="1"/>
    <col min="20" max="16384" width="9.140625" style="2"/>
  </cols>
  <sheetData>
    <row r="1" spans="1:18" s="22" customFormat="1" ht="18.75">
      <c r="A1" s="29"/>
      <c r="B1" s="29"/>
      <c r="C1" s="29"/>
      <c r="D1" s="29"/>
      <c r="E1" s="27"/>
      <c r="F1" s="29"/>
      <c r="G1" s="29"/>
      <c r="H1" s="29"/>
    </row>
    <row r="2" spans="1:18" s="22" customFormat="1" ht="15.75">
      <c r="A2" s="29"/>
      <c r="B2" s="29"/>
      <c r="C2" s="29"/>
      <c r="D2" s="29"/>
      <c r="E2" s="29"/>
      <c r="F2" s="29"/>
      <c r="G2" s="437"/>
      <c r="H2" s="437"/>
      <c r="I2" s="23"/>
      <c r="J2" s="24"/>
    </row>
    <row r="3" spans="1:18" s="22" customFormat="1" ht="15.75">
      <c r="A3" s="29"/>
      <c r="B3" s="29"/>
      <c r="C3" s="29"/>
      <c r="D3" s="29"/>
      <c r="E3" s="29"/>
      <c r="F3" s="25"/>
      <c r="G3" s="26"/>
      <c r="H3" s="26"/>
      <c r="I3" s="26"/>
      <c r="J3" s="24"/>
    </row>
    <row r="4" spans="1:18" ht="21" customHeight="1">
      <c r="A4" s="433" t="s">
        <v>410</v>
      </c>
      <c r="B4" s="434"/>
      <c r="C4" s="434"/>
      <c r="D4" s="434"/>
      <c r="E4" s="434"/>
      <c r="F4" s="434"/>
      <c r="G4" s="434"/>
      <c r="H4" s="434"/>
      <c r="I4" s="434"/>
    </row>
    <row r="5" spans="1:18" s="1" customFormat="1" ht="34.5" customHeight="1">
      <c r="A5" s="440" t="s">
        <v>0</v>
      </c>
      <c r="B5" s="440" t="s">
        <v>18</v>
      </c>
      <c r="C5" s="440" t="s">
        <v>158</v>
      </c>
      <c r="D5" s="440" t="s">
        <v>380</v>
      </c>
      <c r="E5" s="442" t="s">
        <v>411</v>
      </c>
      <c r="F5" s="443"/>
      <c r="G5" s="440" t="s">
        <v>9</v>
      </c>
      <c r="H5" s="440" t="s">
        <v>44</v>
      </c>
      <c r="I5" s="431" t="s">
        <v>413</v>
      </c>
    </row>
    <row r="6" spans="1:18" s="1" customFormat="1" ht="45" customHeight="1">
      <c r="A6" s="441"/>
      <c r="B6" s="441"/>
      <c r="C6" s="441"/>
      <c r="D6" s="441"/>
      <c r="E6" s="12" t="s">
        <v>19</v>
      </c>
      <c r="F6" s="11" t="s">
        <v>20</v>
      </c>
      <c r="G6" s="441"/>
      <c r="H6" s="441"/>
      <c r="I6" s="432"/>
    </row>
    <row r="7" spans="1:18" s="1" customFormat="1" ht="14.25" customHeight="1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9">
        <v>8</v>
      </c>
      <c r="I7" s="39">
        <v>9</v>
      </c>
    </row>
    <row r="8" spans="1:18" ht="45" customHeight="1">
      <c r="A8" s="13">
        <v>1</v>
      </c>
      <c r="B8" s="376" t="s">
        <v>441</v>
      </c>
      <c r="C8" s="8">
        <f>'2. Детальний звіт'!G222</f>
        <v>154595.04699999999</v>
      </c>
      <c r="D8" s="8">
        <f>'2. Детальний звіт'!I222</f>
        <v>70446.36</v>
      </c>
      <c r="E8" s="8">
        <f>'2. Детальний звіт'!L222</f>
        <v>92059.32633833334</v>
      </c>
      <c r="F8" s="8">
        <f>'2. Детальний звіт'!N222</f>
        <v>61791.975363333338</v>
      </c>
      <c r="G8" s="9">
        <f>E8/D8</f>
        <v>1.3068003277718443</v>
      </c>
      <c r="H8" s="8">
        <f>D8-E8</f>
        <v>-21612.966338333339</v>
      </c>
      <c r="I8" s="8">
        <f>'2. Детальний звіт'!S222</f>
        <v>21612.966338333339</v>
      </c>
      <c r="L8" s="190"/>
      <c r="M8" s="1"/>
      <c r="N8" s="1"/>
      <c r="O8" s="190"/>
      <c r="P8" s="190"/>
      <c r="Q8" s="1"/>
      <c r="R8" s="191"/>
    </row>
    <row r="9" spans="1:18" ht="45" customHeight="1">
      <c r="A9" s="13">
        <v>2</v>
      </c>
      <c r="B9" s="376" t="s">
        <v>11</v>
      </c>
      <c r="C9" s="8">
        <f>'2. Детальний звіт'!G245</f>
        <v>42082.873698999996</v>
      </c>
      <c r="D9" s="8">
        <f>'2. Детальний звіт'!I245</f>
        <v>19355.719520500003</v>
      </c>
      <c r="E9" s="8">
        <f>'2. Детальний звіт'!L245</f>
        <v>31365.561253499996</v>
      </c>
      <c r="F9" s="8">
        <f>'2. Детальний звіт'!N245</f>
        <v>16612.39129</v>
      </c>
      <c r="G9" s="9">
        <f t="shared" ref="G9:G13" si="0">E9/D9</f>
        <v>1.620480252376056</v>
      </c>
      <c r="H9" s="8">
        <f t="shared" ref="H9:H14" si="1">D9-E9</f>
        <v>-12009.841732999994</v>
      </c>
      <c r="I9" s="8">
        <f>'2. Детальний звіт'!S245</f>
        <v>12009.841732999994</v>
      </c>
      <c r="L9" s="190"/>
      <c r="M9" s="1"/>
      <c r="N9" s="1"/>
      <c r="O9" s="190"/>
      <c r="P9" s="190"/>
      <c r="Q9" s="1"/>
      <c r="R9" s="191"/>
    </row>
    <row r="10" spans="1:18" ht="61.5" customHeight="1">
      <c r="A10" s="13">
        <v>3</v>
      </c>
      <c r="B10" s="376" t="s">
        <v>35</v>
      </c>
      <c r="C10" s="8">
        <f>'2. Детальний звіт'!G249</f>
        <v>1400</v>
      </c>
      <c r="D10" s="8">
        <f>'2. Детальний звіт'!I249</f>
        <v>0</v>
      </c>
      <c r="E10" s="8">
        <f>'2. Детальний звіт'!L249</f>
        <v>0</v>
      </c>
      <c r="F10" s="8">
        <f>'2. Детальний звіт'!N249</f>
        <v>0</v>
      </c>
      <c r="G10" s="9" t="e">
        <f t="shared" si="0"/>
        <v>#DIV/0!</v>
      </c>
      <c r="H10" s="8">
        <f t="shared" si="1"/>
        <v>0</v>
      </c>
      <c r="I10" s="8">
        <f>'2. Детальний звіт'!S249</f>
        <v>0</v>
      </c>
      <c r="L10" s="190"/>
      <c r="M10" s="1"/>
      <c r="N10" s="1"/>
      <c r="O10" s="190"/>
      <c r="P10" s="190"/>
      <c r="Q10" s="1"/>
      <c r="R10" s="191"/>
    </row>
    <row r="11" spans="1:18" ht="28.5" customHeight="1">
      <c r="A11" s="13">
        <v>4</v>
      </c>
      <c r="B11" s="376" t="s">
        <v>1</v>
      </c>
      <c r="C11" s="8">
        <f>'2. Детальний звіт'!G265</f>
        <v>15018.619999999999</v>
      </c>
      <c r="D11" s="8">
        <f>'2. Детальний звіт'!I265</f>
        <v>6315.8</v>
      </c>
      <c r="E11" s="8">
        <f>'2. Детальний звіт'!L265</f>
        <v>14859.228299999999</v>
      </c>
      <c r="F11" s="8">
        <f>'2. Детальний звіт'!N265</f>
        <v>14859.228299999999</v>
      </c>
      <c r="G11" s="9">
        <f t="shared" si="0"/>
        <v>2.3527072263212894</v>
      </c>
      <c r="H11" s="8">
        <f t="shared" si="1"/>
        <v>-8543.4282999999996</v>
      </c>
      <c r="I11" s="8">
        <f>'2. Детальний звіт'!S265</f>
        <v>8543.4282999999996</v>
      </c>
      <c r="L11" s="190"/>
      <c r="M11" s="1"/>
      <c r="N11" s="1"/>
      <c r="O11" s="190"/>
      <c r="P11" s="190"/>
      <c r="Q11" s="1"/>
      <c r="R11" s="191"/>
    </row>
    <row r="12" spans="1:18" ht="33.75" customHeight="1">
      <c r="A12" s="13">
        <v>5</v>
      </c>
      <c r="B12" s="376" t="s">
        <v>12</v>
      </c>
      <c r="C12" s="8">
        <f>'2. Детальний звіт'!G275</f>
        <v>4455</v>
      </c>
      <c r="D12" s="8">
        <f>'2. Детальний звіт'!I275</f>
        <v>0</v>
      </c>
      <c r="E12" s="8">
        <f>'2. Детальний звіт'!L275</f>
        <v>3277.8166759999999</v>
      </c>
      <c r="F12" s="8">
        <f>'2. Детальний звіт'!N275</f>
        <v>578.5</v>
      </c>
      <c r="G12" s="9" t="e">
        <f t="shared" si="0"/>
        <v>#DIV/0!</v>
      </c>
      <c r="H12" s="8">
        <f t="shared" si="1"/>
        <v>-3277.8166759999999</v>
      </c>
      <c r="I12" s="8">
        <f>'2. Детальний звіт'!S275</f>
        <v>3277.8166759999999</v>
      </c>
      <c r="L12" s="190"/>
      <c r="M12" s="1"/>
      <c r="N12" s="1"/>
      <c r="O12" s="190"/>
      <c r="P12" s="190"/>
      <c r="Q12" s="1"/>
      <c r="R12" s="191"/>
    </row>
    <row r="13" spans="1:18" ht="29.25" customHeight="1">
      <c r="A13" s="13">
        <v>6</v>
      </c>
      <c r="B13" s="376" t="s">
        <v>440</v>
      </c>
      <c r="C13" s="8">
        <f>'2. Детальний звіт'!G285</f>
        <v>14772.588</v>
      </c>
      <c r="D13" s="8">
        <f>'2. Детальний звіт'!I285</f>
        <v>7622.25</v>
      </c>
      <c r="E13" s="14">
        <f>'2. Детальний звіт'!L285</f>
        <v>7979.375</v>
      </c>
      <c r="F13" s="14">
        <f>'2. Детальний звіт'!N285</f>
        <v>6117.5</v>
      </c>
      <c r="G13" s="9">
        <f t="shared" si="0"/>
        <v>1.0468529633638362</v>
      </c>
      <c r="H13" s="8">
        <f t="shared" si="1"/>
        <v>-357.125</v>
      </c>
      <c r="I13" s="8">
        <f>'2. Детальний звіт'!S285</f>
        <v>357.125</v>
      </c>
      <c r="L13" s="190"/>
      <c r="M13" s="1"/>
      <c r="N13" s="1"/>
      <c r="O13" s="192"/>
      <c r="P13" s="192"/>
      <c r="Q13" s="1"/>
      <c r="R13" s="191"/>
    </row>
    <row r="14" spans="1:18" ht="16.5" customHeight="1">
      <c r="A14" s="13">
        <v>7</v>
      </c>
      <c r="B14" s="376" t="s">
        <v>2</v>
      </c>
      <c r="C14" s="8">
        <f>'2. Детальний звіт'!G290</f>
        <v>1465.87</v>
      </c>
      <c r="D14" s="8">
        <f>'2. Детальний звіт'!I290</f>
        <v>1465.87</v>
      </c>
      <c r="E14" s="14">
        <f>'2. Детальний звіт'!L290</f>
        <v>1407.27</v>
      </c>
      <c r="F14" s="14">
        <f>'2. Детальний звіт'!N290</f>
        <v>1124.0500000000002</v>
      </c>
      <c r="G14" s="9">
        <f>E14/D14</f>
        <v>0.96002374016795489</v>
      </c>
      <c r="H14" s="8">
        <f t="shared" si="1"/>
        <v>58.599999999999909</v>
      </c>
      <c r="I14" s="8">
        <f>'2. Детальний звіт'!S290</f>
        <v>-58.599999999999909</v>
      </c>
      <c r="L14" s="190"/>
      <c r="M14" s="1"/>
      <c r="N14" s="1"/>
      <c r="O14" s="192"/>
      <c r="P14" s="192"/>
      <c r="Q14" s="1"/>
      <c r="R14" s="191"/>
    </row>
    <row r="15" spans="1:18" ht="15" customHeight="1">
      <c r="A15" s="438" t="s">
        <v>5</v>
      </c>
      <c r="B15" s="439"/>
      <c r="C15" s="49">
        <f>SUM(C8:C14)</f>
        <v>233789.99869899996</v>
      </c>
      <c r="D15" s="49">
        <f t="shared" ref="D15:I15" si="2">SUM(D8:D14)</f>
        <v>105205.9995205</v>
      </c>
      <c r="E15" s="49">
        <f t="shared" si="2"/>
        <v>150948.5775678333</v>
      </c>
      <c r="F15" s="49">
        <f t="shared" si="2"/>
        <v>101083.64495333334</v>
      </c>
      <c r="G15" s="50">
        <f>E15/D15</f>
        <v>1.4347905847177478</v>
      </c>
      <c r="H15" s="49">
        <f t="shared" si="2"/>
        <v>-45742.578047333336</v>
      </c>
      <c r="I15" s="49">
        <f t="shared" si="2"/>
        <v>45742.578047333336</v>
      </c>
      <c r="L15" s="193"/>
      <c r="M15" s="1"/>
      <c r="N15" s="1"/>
      <c r="O15" s="193"/>
      <c r="P15" s="193"/>
      <c r="Q15" s="1"/>
      <c r="R15" s="191"/>
    </row>
    <row r="16" spans="1:18" ht="15">
      <c r="A16" s="15"/>
      <c r="B16" s="15"/>
      <c r="C16" s="15"/>
      <c r="D16" s="15"/>
      <c r="E16" s="15"/>
      <c r="F16" s="15"/>
      <c r="G16" s="15"/>
      <c r="H16" s="15"/>
    </row>
    <row r="17" spans="1:21" s="47" customFormat="1" ht="15">
      <c r="A17" s="44"/>
      <c r="B17" s="40" t="s">
        <v>45</v>
      </c>
      <c r="C17" s="51"/>
      <c r="D17" s="51"/>
      <c r="E17" s="435" t="s">
        <v>157</v>
      </c>
      <c r="F17" s="436"/>
      <c r="G17" s="51"/>
      <c r="H17" s="274"/>
      <c r="I17" s="274"/>
      <c r="J17" s="274"/>
      <c r="K17" s="274"/>
      <c r="L17" s="274"/>
      <c r="M17" s="45"/>
      <c r="N17" s="46"/>
      <c r="O17" s="46"/>
      <c r="P17" s="46"/>
      <c r="Q17" s="46"/>
      <c r="R17" s="46"/>
      <c r="S17" s="46"/>
      <c r="T17" s="46"/>
    </row>
    <row r="18" spans="1:21" s="47" customFormat="1" ht="15">
      <c r="A18" s="48"/>
      <c r="B18" s="42" t="s">
        <v>46</v>
      </c>
      <c r="C18" s="51"/>
      <c r="D18" s="51"/>
      <c r="E18" s="436" t="s">
        <v>17</v>
      </c>
      <c r="F18" s="436"/>
      <c r="G18" s="51"/>
      <c r="H18" s="51"/>
      <c r="I18" s="52"/>
      <c r="J18" s="52"/>
      <c r="K18" s="52"/>
      <c r="L18" s="51"/>
      <c r="M18" s="45"/>
      <c r="N18" s="46"/>
      <c r="O18" s="46"/>
      <c r="P18" s="46"/>
      <c r="Q18" s="46"/>
      <c r="R18" s="46"/>
      <c r="S18" s="46"/>
      <c r="T18" s="46"/>
    </row>
    <row r="19" spans="1:21" s="47" customFormat="1" ht="15">
      <c r="A19" s="51"/>
      <c r="B19" s="4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45"/>
      <c r="N19" s="45"/>
      <c r="O19" s="46"/>
      <c r="P19" s="46"/>
      <c r="Q19" s="46"/>
      <c r="R19" s="46"/>
      <c r="S19" s="46"/>
      <c r="T19" s="46"/>
    </row>
    <row r="20" spans="1:21" s="47" customFormat="1" ht="15">
      <c r="A20" s="51"/>
      <c r="B20" s="53" t="s">
        <v>437</v>
      </c>
      <c r="C20" s="51"/>
      <c r="D20" s="54" t="s">
        <v>47</v>
      </c>
      <c r="E20" s="55"/>
      <c r="F20" s="55"/>
      <c r="G20" s="55"/>
      <c r="H20" s="51"/>
      <c r="I20" s="51"/>
      <c r="J20" s="51"/>
      <c r="K20" s="51"/>
      <c r="L20" s="51"/>
      <c r="M20" s="45"/>
      <c r="N20" s="45"/>
      <c r="O20" s="46"/>
      <c r="P20" s="46"/>
      <c r="Q20" s="46"/>
      <c r="R20" s="46"/>
      <c r="S20" s="46"/>
      <c r="T20" s="46"/>
    </row>
    <row r="21" spans="1:21" s="28" customFormat="1" ht="1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21" s="30" customFormat="1" ht="15">
      <c r="A22" s="40"/>
      <c r="B22" s="41"/>
      <c r="C22" s="41"/>
      <c r="D22" s="41"/>
      <c r="E22" s="276"/>
      <c r="F22" s="276"/>
      <c r="G22" s="276"/>
      <c r="H22" s="276"/>
      <c r="I22" s="31"/>
      <c r="J22" s="29"/>
      <c r="K22" s="29"/>
      <c r="L22" s="29"/>
      <c r="R22" s="279"/>
      <c r="S22" s="279"/>
    </row>
    <row r="23" spans="1:21" s="32" customFormat="1" ht="15" customHeight="1">
      <c r="A23" s="42"/>
      <c r="B23" s="41"/>
      <c r="C23" s="41"/>
      <c r="D23" s="41"/>
      <c r="E23" s="275"/>
      <c r="F23" s="275"/>
      <c r="G23" s="275"/>
      <c r="H23" s="275"/>
      <c r="I23" s="31"/>
      <c r="J23" s="16"/>
      <c r="K23" s="16"/>
      <c r="L23" s="16"/>
    </row>
    <row r="24" spans="1:21" s="30" customFormat="1">
      <c r="A24" s="33"/>
      <c r="B24" s="33"/>
      <c r="C24" s="43"/>
      <c r="D24" s="43"/>
      <c r="E24" s="43"/>
      <c r="F24" s="43"/>
      <c r="G24" s="43"/>
      <c r="H24" s="43"/>
      <c r="I24" s="29"/>
      <c r="J24" s="29"/>
      <c r="K24" s="29"/>
      <c r="L24" s="29"/>
    </row>
    <row r="25" spans="1:21" s="30" customFormat="1">
      <c r="A25" s="37"/>
      <c r="B25" s="37"/>
      <c r="C25" s="37"/>
      <c r="D25" s="34"/>
      <c r="E25" s="35"/>
      <c r="F25" s="43"/>
      <c r="G25" s="43"/>
      <c r="H25" s="43"/>
      <c r="I25" s="29"/>
      <c r="J25" s="29"/>
      <c r="K25" s="29"/>
      <c r="L25" s="29"/>
      <c r="P25" s="279"/>
      <c r="Q25" s="279"/>
      <c r="R25" s="279"/>
      <c r="S25" s="279"/>
      <c r="T25" s="279"/>
      <c r="U25" s="279"/>
    </row>
    <row r="26" spans="1:21" s="30" customFormat="1">
      <c r="A26" s="36"/>
      <c r="B26" s="36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21" s="3" customFormat="1" ht="15">
      <c r="A27" s="4"/>
      <c r="B27" s="4"/>
      <c r="C27" s="4"/>
      <c r="D27" s="4"/>
      <c r="E27" s="4"/>
      <c r="F27" s="4"/>
      <c r="G27" s="4"/>
      <c r="H27" s="4"/>
    </row>
    <row r="28" spans="1:21" ht="15">
      <c r="A28" s="10"/>
      <c r="B28" s="10"/>
      <c r="C28" s="10"/>
      <c r="D28" s="10"/>
      <c r="E28" s="10"/>
      <c r="F28" s="10"/>
      <c r="G28" s="10"/>
      <c r="H28" s="10"/>
    </row>
  </sheetData>
  <mergeCells count="13">
    <mergeCell ref="I5:I6"/>
    <mergeCell ref="A4:I4"/>
    <mergeCell ref="E17:F17"/>
    <mergeCell ref="E18:F18"/>
    <mergeCell ref="G2:H2"/>
    <mergeCell ref="A15:B15"/>
    <mergeCell ref="B5:B6"/>
    <mergeCell ref="A5:A6"/>
    <mergeCell ref="C5:C6"/>
    <mergeCell ref="D5:D6"/>
    <mergeCell ref="G5:G6"/>
    <mergeCell ref="H5:H6"/>
    <mergeCell ref="E5:F5"/>
  </mergeCells>
  <phoneticPr fontId="0" type="noConversion"/>
  <pageMargins left="0.47244094488188981" right="0.15748031496062992" top="0.31496062992125984" bottom="0.35433070866141736" header="0.23622047244094491" footer="0.31496062992125984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3"/>
  <sheetViews>
    <sheetView tabSelected="1" view="pageBreakPreview" zoomScale="70" zoomScaleNormal="25" zoomScaleSheetLayoutView="70" zoomScalePageLayoutView="55" workbookViewId="0">
      <pane ySplit="5" topLeftCell="A219" activePane="bottomLeft" state="frozen"/>
      <selection pane="bottomLeft" activeCell="M199" activeCellId="1" sqref="M191 M199"/>
    </sheetView>
  </sheetViews>
  <sheetFormatPr defaultRowHeight="15"/>
  <cols>
    <col min="1" max="1" width="6.85546875" style="57" customWidth="1"/>
    <col min="2" max="2" width="42.140625" style="57" customWidth="1"/>
    <col min="3" max="3" width="9.7109375" style="57" customWidth="1"/>
    <col min="4" max="4" width="25.7109375" style="57" customWidth="1"/>
    <col min="5" max="5" width="12.28515625" style="57" customWidth="1"/>
    <col min="6" max="6" width="11" style="57" customWidth="1"/>
    <col min="7" max="7" width="21.5703125" style="57" customWidth="1"/>
    <col min="8" max="8" width="16.5703125" style="57" customWidth="1"/>
    <col min="9" max="9" width="14.7109375" style="57" customWidth="1"/>
    <col min="10" max="10" width="12.42578125" style="57" customWidth="1"/>
    <col min="11" max="11" width="10" style="57" customWidth="1"/>
    <col min="12" max="12" width="18.42578125" style="57" customWidth="1"/>
    <col min="13" max="13" width="10" style="57" customWidth="1"/>
    <col min="14" max="14" width="14.42578125" style="57" customWidth="1"/>
    <col min="15" max="15" width="17.140625" style="57" customWidth="1"/>
    <col min="16" max="16" width="27" style="57" customWidth="1"/>
    <col min="17" max="17" width="9.42578125" style="57" customWidth="1"/>
    <col min="18" max="19" width="18" style="57" customWidth="1"/>
    <col min="20" max="20" width="14.28515625" style="57" customWidth="1"/>
    <col min="21" max="21" width="16.85546875" style="183" customWidth="1"/>
    <col min="22" max="22" width="17.85546875" style="57" customWidth="1"/>
    <col min="23" max="16384" width="9.140625" style="57"/>
  </cols>
  <sheetData>
    <row r="1" spans="1:22" ht="25.5">
      <c r="A1" s="471" t="s">
        <v>409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3"/>
    </row>
    <row r="2" spans="1:22" s="58" customFormat="1" ht="18.75" customHeight="1">
      <c r="A2" s="468" t="s">
        <v>0</v>
      </c>
      <c r="B2" s="474" t="s">
        <v>22</v>
      </c>
      <c r="C2" s="468" t="s">
        <v>4</v>
      </c>
      <c r="D2" s="477" t="s">
        <v>159</v>
      </c>
      <c r="E2" s="478"/>
      <c r="F2" s="478"/>
      <c r="G2" s="479"/>
      <c r="H2" s="477" t="s">
        <v>381</v>
      </c>
      <c r="I2" s="478"/>
      <c r="J2" s="483" t="s">
        <v>49</v>
      </c>
      <c r="K2" s="483"/>
      <c r="L2" s="483"/>
      <c r="M2" s="483"/>
      <c r="N2" s="483"/>
      <c r="O2" s="468" t="s">
        <v>414</v>
      </c>
      <c r="P2" s="468" t="s">
        <v>415</v>
      </c>
      <c r="Q2" s="484" t="s">
        <v>8</v>
      </c>
      <c r="R2" s="484"/>
      <c r="S2" s="468" t="s">
        <v>416</v>
      </c>
      <c r="T2" s="468" t="s">
        <v>6</v>
      </c>
      <c r="U2" s="468" t="s">
        <v>3</v>
      </c>
      <c r="V2" s="468" t="s">
        <v>50</v>
      </c>
    </row>
    <row r="3" spans="1:22" s="58" customFormat="1" ht="15.75">
      <c r="A3" s="470"/>
      <c r="B3" s="475"/>
      <c r="C3" s="470"/>
      <c r="D3" s="480"/>
      <c r="E3" s="481"/>
      <c r="F3" s="481"/>
      <c r="G3" s="482"/>
      <c r="H3" s="480"/>
      <c r="I3" s="481"/>
      <c r="J3" s="485" t="s">
        <v>19</v>
      </c>
      <c r="K3" s="486"/>
      <c r="L3" s="486"/>
      <c r="M3" s="485" t="s">
        <v>20</v>
      </c>
      <c r="N3" s="486"/>
      <c r="O3" s="470"/>
      <c r="P3" s="470"/>
      <c r="Q3" s="484"/>
      <c r="R3" s="484"/>
      <c r="S3" s="470"/>
      <c r="T3" s="470"/>
      <c r="U3" s="470"/>
      <c r="V3" s="470"/>
    </row>
    <row r="4" spans="1:22" s="58" customFormat="1" ht="15.75" customHeight="1">
      <c r="A4" s="470"/>
      <c r="B4" s="475"/>
      <c r="C4" s="470"/>
      <c r="D4" s="468" t="s">
        <v>21</v>
      </c>
      <c r="E4" s="468" t="s">
        <v>70</v>
      </c>
      <c r="F4" s="468" t="s">
        <v>51</v>
      </c>
      <c r="G4" s="468" t="s">
        <v>52</v>
      </c>
      <c r="H4" s="477" t="s">
        <v>51</v>
      </c>
      <c r="I4" s="477" t="s">
        <v>52</v>
      </c>
      <c r="J4" s="468" t="s">
        <v>70</v>
      </c>
      <c r="K4" s="477" t="s">
        <v>53</v>
      </c>
      <c r="L4" s="477" t="s">
        <v>71</v>
      </c>
      <c r="M4" s="477" t="s">
        <v>53</v>
      </c>
      <c r="N4" s="477" t="s">
        <v>52</v>
      </c>
      <c r="O4" s="470"/>
      <c r="P4" s="470"/>
      <c r="Q4" s="468" t="s">
        <v>51</v>
      </c>
      <c r="R4" s="468" t="s">
        <v>52</v>
      </c>
      <c r="S4" s="470"/>
      <c r="T4" s="470"/>
      <c r="U4" s="470"/>
      <c r="V4" s="470"/>
    </row>
    <row r="5" spans="1:22" s="58" customFormat="1" ht="70.5" customHeight="1">
      <c r="A5" s="469"/>
      <c r="B5" s="476"/>
      <c r="C5" s="469"/>
      <c r="D5" s="469"/>
      <c r="E5" s="469"/>
      <c r="F5" s="469"/>
      <c r="G5" s="469"/>
      <c r="H5" s="480"/>
      <c r="I5" s="480"/>
      <c r="J5" s="469"/>
      <c r="K5" s="480"/>
      <c r="L5" s="480"/>
      <c r="M5" s="480"/>
      <c r="N5" s="480"/>
      <c r="O5" s="469"/>
      <c r="P5" s="469"/>
      <c r="Q5" s="469"/>
      <c r="R5" s="469"/>
      <c r="S5" s="469"/>
      <c r="T5" s="469"/>
      <c r="U5" s="469"/>
      <c r="V5" s="469"/>
    </row>
    <row r="6" spans="1:22" s="58" customFormat="1" ht="15.75">
      <c r="A6" s="109">
        <v>1</v>
      </c>
      <c r="B6" s="109">
        <v>2</v>
      </c>
      <c r="C6" s="109">
        <v>3</v>
      </c>
      <c r="D6" s="109">
        <v>4</v>
      </c>
      <c r="E6" s="109">
        <v>5</v>
      </c>
      <c r="F6" s="109">
        <v>6</v>
      </c>
      <c r="G6" s="109">
        <v>7</v>
      </c>
      <c r="H6" s="109">
        <v>8</v>
      </c>
      <c r="I6" s="109">
        <v>9</v>
      </c>
      <c r="J6" s="109">
        <v>10</v>
      </c>
      <c r="K6" s="109">
        <v>11</v>
      </c>
      <c r="L6" s="109">
        <v>12</v>
      </c>
      <c r="M6" s="109">
        <v>13</v>
      </c>
      <c r="N6" s="109">
        <v>14</v>
      </c>
      <c r="O6" s="109">
        <v>15</v>
      </c>
      <c r="P6" s="109">
        <v>16</v>
      </c>
      <c r="Q6" s="109">
        <v>17</v>
      </c>
      <c r="R6" s="109">
        <v>18</v>
      </c>
      <c r="S6" s="109">
        <v>19</v>
      </c>
      <c r="T6" s="109">
        <v>20</v>
      </c>
      <c r="U6" s="109">
        <v>21</v>
      </c>
      <c r="V6" s="109">
        <v>22</v>
      </c>
    </row>
    <row r="7" spans="1:22" s="59" customFormat="1" ht="18.75">
      <c r="A7" s="465" t="s">
        <v>438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7"/>
    </row>
    <row r="8" spans="1:22" s="59" customFormat="1" ht="60.75" customHeight="1">
      <c r="A8" s="195" t="s">
        <v>97</v>
      </c>
      <c r="B8" s="210" t="s">
        <v>41</v>
      </c>
      <c r="C8" s="195" t="s">
        <v>36</v>
      </c>
      <c r="D8" s="247" t="s">
        <v>247</v>
      </c>
      <c r="E8" s="206">
        <f>G8/F8</f>
        <v>613.1667349975703</v>
      </c>
      <c r="F8" s="228">
        <f>F10+F16+F22+F28+F33+F39+F44+F46+F49+F56+F63+F67+F70+F74+F78+F81+F86+F92+F94+F100+F103+F106+F112+F115+F117+F119+F122+F127+F129+F134+F140+F145+F147+F150+F152</f>
        <v>131.71200000000002</v>
      </c>
      <c r="G8" s="208">
        <f>G10+G16+G22+G28+G33+G39+G44+G46+G49+G56+G63+G67+G70+G74+G78+G81+G86+G92+G94+G100+G103+G106+G112+G115+G117+G119+G122+G127+G129+G134+G140+G145+G147+G150+G152</f>
        <v>80761.416999999987</v>
      </c>
      <c r="H8" s="228">
        <f t="shared" ref="H8:I8" si="0">H10+H16+H22+H28+H33+H39+H44+H46+H49+H56+H63+H67+H70+H74+H78+H81+H86+H92+H94+H100+H103+H106+H112+H115+H117+H119+H122+H127+H129+H134+H140+H145+H147+H150+H152</f>
        <v>70.301100326985633</v>
      </c>
      <c r="I8" s="208">
        <f t="shared" si="0"/>
        <v>42831.92</v>
      </c>
      <c r="J8" s="208">
        <f>L8/K8</f>
        <v>608.05028790148117</v>
      </c>
      <c r="K8" s="228">
        <f t="shared" ref="K8:N8" si="1">K10+K16+K22+K28+K33+K39+K44+K46+K49+K56+K63+K67+K70+K74+K78+K81+K86+K92+K94+K100+K103+K106+K112+K115+K117+K119+K122+K127+K129+K134+K140+K145+K147+K150+K152</f>
        <v>78.117000000000004</v>
      </c>
      <c r="L8" s="208">
        <f t="shared" si="1"/>
        <v>47499.064340000004</v>
      </c>
      <c r="M8" s="228">
        <f t="shared" si="1"/>
        <v>78.117000000000004</v>
      </c>
      <c r="N8" s="208">
        <f t="shared" si="1"/>
        <v>47341.690923333335</v>
      </c>
      <c r="O8" s="281"/>
      <c r="P8" s="281"/>
      <c r="Q8" s="231">
        <f>H8-K8</f>
        <v>-7.8158996730143713</v>
      </c>
      <c r="R8" s="86">
        <f>I8-L8</f>
        <v>-4667.1443400000062</v>
      </c>
      <c r="S8" s="86">
        <f>L8-I8</f>
        <v>4667.1443400000062</v>
      </c>
      <c r="T8" s="223">
        <f>(J8-E8)/E8</f>
        <v>-8.3442998519960582E-3</v>
      </c>
      <c r="U8" s="282"/>
      <c r="V8" s="169"/>
    </row>
    <row r="9" spans="1:22" s="59" customFormat="1" ht="15.75">
      <c r="A9" s="167"/>
      <c r="B9" s="301" t="s">
        <v>84</v>
      </c>
      <c r="C9" s="290"/>
      <c r="D9" s="290"/>
      <c r="E9" s="291"/>
      <c r="F9" s="209"/>
      <c r="G9" s="209"/>
      <c r="H9" s="229"/>
      <c r="I9" s="86"/>
      <c r="J9" s="89"/>
      <c r="K9" s="89"/>
      <c r="L9" s="89"/>
      <c r="M9" s="89"/>
      <c r="N9" s="89"/>
      <c r="O9" s="281"/>
      <c r="P9" s="281"/>
      <c r="Q9" s="231"/>
      <c r="R9" s="86"/>
      <c r="S9" s="86">
        <f t="shared" ref="S9:S72" si="2">L9-I9</f>
        <v>0</v>
      </c>
      <c r="T9" s="223"/>
      <c r="U9" s="282"/>
      <c r="V9" s="186"/>
    </row>
    <row r="10" spans="1:22" s="305" customFormat="1" ht="28.5" customHeight="1">
      <c r="A10" s="240" t="s">
        <v>98</v>
      </c>
      <c r="B10" s="306" t="s">
        <v>160</v>
      </c>
      <c r="C10" s="195" t="s">
        <v>36</v>
      </c>
      <c r="D10" s="273" t="s">
        <v>156</v>
      </c>
      <c r="E10" s="307">
        <f t="shared" ref="E10:E32" si="3">G10/F10</f>
        <v>613.19800569800566</v>
      </c>
      <c r="F10" s="308">
        <f>SUM(F11:F12)</f>
        <v>7.0200000000000005</v>
      </c>
      <c r="G10" s="309">
        <f>SUM(G11:G14)</f>
        <v>4304.6499999999996</v>
      </c>
      <c r="H10" s="308">
        <f>SUM(H11:H12)</f>
        <v>7.0200000000000005</v>
      </c>
      <c r="I10" s="309">
        <f>SUM(I11:I14)</f>
        <v>4304.6499999999996</v>
      </c>
      <c r="J10" s="307">
        <f t="shared" ref="J10:J14" si="4">L10/K10</f>
        <v>609.92402659069342</v>
      </c>
      <c r="K10" s="308">
        <f>SUM(K11:K12)</f>
        <v>7.0200000000000005</v>
      </c>
      <c r="L10" s="309">
        <f>SUM(L11:L14)</f>
        <v>4281.6666666666679</v>
      </c>
      <c r="M10" s="308">
        <f>SUM(M11:M12)</f>
        <v>7.0200000000000005</v>
      </c>
      <c r="N10" s="420">
        <f>SUM(N11:N14)</f>
        <v>4281.6666666666679</v>
      </c>
      <c r="O10" s="273" t="s">
        <v>156</v>
      </c>
      <c r="P10" s="445" t="s">
        <v>420</v>
      </c>
      <c r="Q10" s="231">
        <f t="shared" ref="Q10:R14" si="5">H10-K10</f>
        <v>0</v>
      </c>
      <c r="R10" s="86">
        <f t="shared" si="5"/>
        <v>22.983333333331757</v>
      </c>
      <c r="S10" s="86">
        <f t="shared" si="2"/>
        <v>-22.983333333331757</v>
      </c>
      <c r="T10" s="223">
        <f>(J10-E10)/E10</f>
        <v>-5.3391874678154899E-3</v>
      </c>
      <c r="U10" s="372" t="s">
        <v>384</v>
      </c>
      <c r="V10" s="188"/>
    </row>
    <row r="11" spans="1:22" s="59" customFormat="1" ht="15.75">
      <c r="A11" s="167"/>
      <c r="B11" s="283" t="s">
        <v>151</v>
      </c>
      <c r="C11" s="205" t="s">
        <v>36</v>
      </c>
      <c r="D11" s="214" t="s">
        <v>156</v>
      </c>
      <c r="E11" s="177">
        <f t="shared" si="3"/>
        <v>571.14571920488333</v>
      </c>
      <c r="F11" s="270">
        <v>6.3890000000000002</v>
      </c>
      <c r="G11" s="284">
        <v>3649.0499999999997</v>
      </c>
      <c r="H11" s="229">
        <f t="shared" ref="H11:H43" si="6">F11</f>
        <v>6.3890000000000002</v>
      </c>
      <c r="I11" s="133">
        <f t="shared" ref="I11:I43" si="7">G11</f>
        <v>3649.0499999999997</v>
      </c>
      <c r="J11" s="387">
        <f t="shared" si="4"/>
        <v>550.15928157771179</v>
      </c>
      <c r="K11" s="388">
        <v>6.3890000000000002</v>
      </c>
      <c r="L11" s="389">
        <f>4217.96118/1.2</f>
        <v>3514.9676500000005</v>
      </c>
      <c r="M11" s="388">
        <v>6.3890000000000002</v>
      </c>
      <c r="N11" s="399">
        <f>4217.96118/1.2</f>
        <v>3514.9676500000005</v>
      </c>
      <c r="O11" s="214" t="s">
        <v>156</v>
      </c>
      <c r="P11" s="446"/>
      <c r="Q11" s="233">
        <f t="shared" si="5"/>
        <v>0</v>
      </c>
      <c r="R11" s="85">
        <f t="shared" si="5"/>
        <v>134.08234999999922</v>
      </c>
      <c r="S11" s="86">
        <f t="shared" si="2"/>
        <v>-134.08234999999922</v>
      </c>
      <c r="T11" s="224">
        <f>(J11-E11)/E11</f>
        <v>-3.6744454035981693E-2</v>
      </c>
      <c r="U11" s="282"/>
      <c r="V11" s="186"/>
    </row>
    <row r="12" spans="1:22" s="59" customFormat="1" ht="15.75">
      <c r="A12" s="167"/>
      <c r="B12" s="283" t="s">
        <v>152</v>
      </c>
      <c r="C12" s="205" t="s">
        <v>36</v>
      </c>
      <c r="D12" s="214" t="s">
        <v>156</v>
      </c>
      <c r="E12" s="177">
        <f t="shared" si="3"/>
        <v>626.94136291600637</v>
      </c>
      <c r="F12" s="270">
        <v>0.63100000000000001</v>
      </c>
      <c r="G12" s="284">
        <v>395.6</v>
      </c>
      <c r="H12" s="229">
        <f t="shared" si="6"/>
        <v>0.63100000000000001</v>
      </c>
      <c r="I12" s="133">
        <f t="shared" si="7"/>
        <v>395.6</v>
      </c>
      <c r="J12" s="387">
        <f t="shared" si="4"/>
        <v>697.31244057052299</v>
      </c>
      <c r="K12" s="388">
        <v>0.63100000000000001</v>
      </c>
      <c r="L12" s="389">
        <f>528.00498/1.2</f>
        <v>440.00415000000004</v>
      </c>
      <c r="M12" s="388">
        <v>0.63100000000000001</v>
      </c>
      <c r="N12" s="399">
        <f>528.00498/1.2</f>
        <v>440.00415000000004</v>
      </c>
      <c r="O12" s="214" t="s">
        <v>156</v>
      </c>
      <c r="P12" s="446"/>
      <c r="Q12" s="233">
        <f t="shared" si="5"/>
        <v>0</v>
      </c>
      <c r="R12" s="85">
        <f t="shared" si="5"/>
        <v>-44.404150000000016</v>
      </c>
      <c r="S12" s="86">
        <f t="shared" si="2"/>
        <v>44.404150000000016</v>
      </c>
      <c r="T12" s="224">
        <f>(J12-E12)/E12</f>
        <v>0.11224507077856417</v>
      </c>
      <c r="U12" s="282"/>
      <c r="V12" s="186"/>
    </row>
    <row r="13" spans="1:22" s="59" customFormat="1" ht="31.5">
      <c r="A13" s="167"/>
      <c r="B13" s="283" t="s">
        <v>161</v>
      </c>
      <c r="C13" s="205" t="s">
        <v>37</v>
      </c>
      <c r="D13" s="214" t="s">
        <v>156</v>
      </c>
      <c r="E13" s="177">
        <f t="shared" si="3"/>
        <v>80</v>
      </c>
      <c r="F13" s="272">
        <v>2</v>
      </c>
      <c r="G13" s="284">
        <v>160</v>
      </c>
      <c r="H13" s="363">
        <f t="shared" si="6"/>
        <v>2</v>
      </c>
      <c r="I13" s="133">
        <f t="shared" si="7"/>
        <v>160</v>
      </c>
      <c r="J13" s="387">
        <f t="shared" si="4"/>
        <v>128.63177916666669</v>
      </c>
      <c r="K13" s="390">
        <v>2</v>
      </c>
      <c r="L13" s="389">
        <f>308.71627/1.2</f>
        <v>257.26355833333338</v>
      </c>
      <c r="M13" s="390">
        <v>2</v>
      </c>
      <c r="N13" s="399">
        <f>308.71627/1.2</f>
        <v>257.26355833333338</v>
      </c>
      <c r="O13" s="214" t="s">
        <v>156</v>
      </c>
      <c r="P13" s="446"/>
      <c r="Q13" s="88">
        <f t="shared" si="5"/>
        <v>0</v>
      </c>
      <c r="R13" s="85">
        <f t="shared" si="5"/>
        <v>-97.263558333333378</v>
      </c>
      <c r="S13" s="86">
        <f t="shared" si="2"/>
        <v>97.263558333333378</v>
      </c>
      <c r="T13" s="224">
        <f>(J13-E13)/E13</f>
        <v>0.60789723958333364</v>
      </c>
      <c r="U13" s="282"/>
      <c r="V13" s="186"/>
    </row>
    <row r="14" spans="1:22" s="59" customFormat="1" ht="15.75">
      <c r="A14" s="167"/>
      <c r="B14" s="283" t="s">
        <v>162</v>
      </c>
      <c r="C14" s="205" t="s">
        <v>37</v>
      </c>
      <c r="D14" s="214" t="s">
        <v>156</v>
      </c>
      <c r="E14" s="177">
        <f t="shared" si="3"/>
        <v>100</v>
      </c>
      <c r="F14" s="272">
        <v>1</v>
      </c>
      <c r="G14" s="284">
        <v>100</v>
      </c>
      <c r="H14" s="363">
        <f t="shared" si="6"/>
        <v>1</v>
      </c>
      <c r="I14" s="133">
        <f t="shared" si="7"/>
        <v>100</v>
      </c>
      <c r="J14" s="387">
        <f t="shared" si="4"/>
        <v>69.431308333333334</v>
      </c>
      <c r="K14" s="390">
        <v>1</v>
      </c>
      <c r="L14" s="389">
        <f>83.31757/1.2</f>
        <v>69.431308333333334</v>
      </c>
      <c r="M14" s="390">
        <v>1</v>
      </c>
      <c r="N14" s="399">
        <f>83.31757/1.2</f>
        <v>69.431308333333334</v>
      </c>
      <c r="O14" s="214" t="s">
        <v>156</v>
      </c>
      <c r="P14" s="447"/>
      <c r="Q14" s="88">
        <f t="shared" si="5"/>
        <v>0</v>
      </c>
      <c r="R14" s="85">
        <f t="shared" si="5"/>
        <v>30.568691666666666</v>
      </c>
      <c r="S14" s="86">
        <f t="shared" si="2"/>
        <v>-30.568691666666666</v>
      </c>
      <c r="T14" s="224">
        <f>(J14-E14)/E14</f>
        <v>-0.30568691666666664</v>
      </c>
      <c r="U14" s="282"/>
      <c r="V14" s="186"/>
    </row>
    <row r="15" spans="1:22" s="59" customFormat="1" ht="15.75">
      <c r="A15" s="167"/>
      <c r="B15" s="302" t="s">
        <v>85</v>
      </c>
      <c r="C15" s="293"/>
      <c r="D15" s="293"/>
      <c r="E15" s="177"/>
      <c r="F15" s="271"/>
      <c r="G15" s="294"/>
      <c r="H15" s="251"/>
      <c r="I15" s="244"/>
      <c r="J15" s="175"/>
      <c r="K15" s="129"/>
      <c r="L15" s="85"/>
      <c r="M15" s="129"/>
      <c r="N15" s="89"/>
      <c r="O15" s="281"/>
      <c r="P15" s="281"/>
      <c r="Q15" s="233"/>
      <c r="R15" s="85"/>
      <c r="S15" s="86">
        <f t="shared" si="2"/>
        <v>0</v>
      </c>
      <c r="T15" s="224"/>
      <c r="U15" s="282"/>
      <c r="V15" s="186"/>
    </row>
    <row r="16" spans="1:22" s="245" customFormat="1" ht="25.5">
      <c r="A16" s="240" t="s">
        <v>99</v>
      </c>
      <c r="B16" s="306" t="s">
        <v>163</v>
      </c>
      <c r="C16" s="195" t="s">
        <v>36</v>
      </c>
      <c r="D16" s="273" t="s">
        <v>72</v>
      </c>
      <c r="E16" s="307">
        <f t="shared" si="3"/>
        <v>618.81793994678833</v>
      </c>
      <c r="F16" s="310">
        <f>SUM(F17:F18)</f>
        <v>7.8930000000000007</v>
      </c>
      <c r="G16" s="311">
        <f>SUM(G17:G21)</f>
        <v>4884.3300000000008</v>
      </c>
      <c r="H16" s="310">
        <f>SUM(H17:H18)</f>
        <v>7.8930000000000007</v>
      </c>
      <c r="I16" s="311">
        <f>SUM(I17:I21)</f>
        <v>4884.3300000000008</v>
      </c>
      <c r="J16" s="242">
        <f>L16/K16</f>
        <v>617.69631318890151</v>
      </c>
      <c r="K16" s="364">
        <f>K17+K18</f>
        <v>7.8930000000000007</v>
      </c>
      <c r="L16" s="86">
        <f>L17+L18+L19+L20+L21</f>
        <v>4875.4769999999999</v>
      </c>
      <c r="M16" s="364">
        <f>M17+M18</f>
        <v>7.8930000000000007</v>
      </c>
      <c r="N16" s="91">
        <f>N17+N18+N19+N20+N21</f>
        <v>4875.4769999999999</v>
      </c>
      <c r="O16" s="273" t="s">
        <v>72</v>
      </c>
      <c r="P16" s="445"/>
      <c r="Q16" s="231">
        <f t="shared" ref="Q16:Q26" si="8">H16-K16</f>
        <v>0</v>
      </c>
      <c r="R16" s="86">
        <f t="shared" ref="R16:R26" si="9">I16-L16</f>
        <v>8.853000000000975</v>
      </c>
      <c r="S16" s="86">
        <f t="shared" si="2"/>
        <v>-8.853000000000975</v>
      </c>
      <c r="T16" s="223">
        <f t="shared" ref="T16:T26" si="10">(J16-E16)/E16</f>
        <v>-1.8125310943365076E-3</v>
      </c>
      <c r="U16" s="373" t="s">
        <v>385</v>
      </c>
      <c r="V16" s="188"/>
    </row>
    <row r="17" spans="1:22" s="59" customFormat="1" ht="15.75">
      <c r="A17" s="167"/>
      <c r="B17" s="285" t="s">
        <v>151</v>
      </c>
      <c r="C17" s="205" t="s">
        <v>36</v>
      </c>
      <c r="D17" s="214" t="s">
        <v>72</v>
      </c>
      <c r="E17" s="177">
        <f t="shared" si="3"/>
        <v>556.48861646234684</v>
      </c>
      <c r="F17" s="258">
        <v>6.8520000000000003</v>
      </c>
      <c r="G17" s="264">
        <v>3813.0600000000004</v>
      </c>
      <c r="H17" s="229">
        <f t="shared" si="6"/>
        <v>6.8520000000000003</v>
      </c>
      <c r="I17" s="133">
        <f t="shared" si="7"/>
        <v>3813.0600000000004</v>
      </c>
      <c r="J17" s="411">
        <f>L17/K17</f>
        <v>514.11660828955041</v>
      </c>
      <c r="K17" s="391">
        <v>6.8520000000000003</v>
      </c>
      <c r="L17" s="418">
        <f>(1721.3148+2505.9576)/1.2</f>
        <v>3522.7269999999999</v>
      </c>
      <c r="M17" s="391">
        <v>6.8520000000000003</v>
      </c>
      <c r="N17" s="421">
        <f>(1721.3148+2505.9576)/1.2</f>
        <v>3522.7269999999999</v>
      </c>
      <c r="O17" s="214" t="s">
        <v>72</v>
      </c>
      <c r="P17" s="446"/>
      <c r="Q17" s="233">
        <f t="shared" si="8"/>
        <v>0</v>
      </c>
      <c r="R17" s="85">
        <f t="shared" si="9"/>
        <v>290.33300000000054</v>
      </c>
      <c r="S17" s="86">
        <f t="shared" si="2"/>
        <v>-290.33300000000054</v>
      </c>
      <c r="T17" s="224">
        <f t="shared" si="10"/>
        <v>-7.6141733935474673E-2</v>
      </c>
      <c r="U17" s="282"/>
      <c r="V17" s="186"/>
    </row>
    <row r="18" spans="1:22" s="59" customFormat="1" ht="15.75">
      <c r="A18" s="167"/>
      <c r="B18" s="285" t="s">
        <v>152</v>
      </c>
      <c r="C18" s="205" t="s">
        <v>36</v>
      </c>
      <c r="D18" s="214" t="s">
        <v>72</v>
      </c>
      <c r="E18" s="177">
        <f t="shared" si="3"/>
        <v>557.37752161383287</v>
      </c>
      <c r="F18" s="258">
        <v>1.0409999999999999</v>
      </c>
      <c r="G18" s="264">
        <v>580.23</v>
      </c>
      <c r="H18" s="229">
        <f t="shared" si="6"/>
        <v>1.0409999999999999</v>
      </c>
      <c r="I18" s="133">
        <f t="shared" si="7"/>
        <v>580.23</v>
      </c>
      <c r="J18" s="411">
        <f t="shared" ref="J18:J24" si="11">L18/K18</f>
        <v>848.39481268011536</v>
      </c>
      <c r="K18" s="392">
        <v>1.0409999999999999</v>
      </c>
      <c r="L18" s="419">
        <f>(538.4772+318.6888+202.6488)/1.2</f>
        <v>883.17900000000009</v>
      </c>
      <c r="M18" s="392">
        <v>1.0409999999999999</v>
      </c>
      <c r="N18" s="422">
        <f>(538.4772+318.6888+202.6488)/1.2</f>
        <v>883.17900000000009</v>
      </c>
      <c r="O18" s="214" t="s">
        <v>72</v>
      </c>
      <c r="P18" s="446"/>
      <c r="Q18" s="233">
        <f t="shared" si="8"/>
        <v>0</v>
      </c>
      <c r="R18" s="85">
        <f t="shared" si="9"/>
        <v>-302.94900000000007</v>
      </c>
      <c r="S18" s="86">
        <f t="shared" si="2"/>
        <v>302.94900000000007</v>
      </c>
      <c r="T18" s="224">
        <f t="shared" si="10"/>
        <v>0.5221188149526913</v>
      </c>
      <c r="U18" s="282"/>
      <c r="V18" s="186"/>
    </row>
    <row r="19" spans="1:22" s="59" customFormat="1" ht="31.5">
      <c r="A19" s="167"/>
      <c r="B19" s="285" t="s">
        <v>164</v>
      </c>
      <c r="C19" s="205" t="s">
        <v>37</v>
      </c>
      <c r="D19" s="214" t="s">
        <v>72</v>
      </c>
      <c r="E19" s="177">
        <f t="shared" si="3"/>
        <v>134.27000000000001</v>
      </c>
      <c r="F19" s="260">
        <v>2</v>
      </c>
      <c r="G19" s="264">
        <v>268.54000000000002</v>
      </c>
      <c r="H19" s="363">
        <f t="shared" si="6"/>
        <v>2</v>
      </c>
      <c r="I19" s="133">
        <f t="shared" si="7"/>
        <v>268.54000000000002</v>
      </c>
      <c r="J19" s="387">
        <f t="shared" si="11"/>
        <v>134.69900000000001</v>
      </c>
      <c r="K19" s="393">
        <v>2</v>
      </c>
      <c r="L19" s="394">
        <f>323.2776/1.2</f>
        <v>269.39800000000002</v>
      </c>
      <c r="M19" s="393">
        <v>2</v>
      </c>
      <c r="N19" s="402">
        <f>323.2776/1.2</f>
        <v>269.39800000000002</v>
      </c>
      <c r="O19" s="214" t="s">
        <v>72</v>
      </c>
      <c r="P19" s="446"/>
      <c r="Q19" s="88">
        <f t="shared" si="8"/>
        <v>0</v>
      </c>
      <c r="R19" s="85">
        <f t="shared" si="9"/>
        <v>-0.85800000000000409</v>
      </c>
      <c r="S19" s="86">
        <f t="shared" si="2"/>
        <v>0.85800000000000409</v>
      </c>
      <c r="T19" s="224">
        <f t="shared" si="10"/>
        <v>3.1950547404483655E-3</v>
      </c>
      <c r="U19" s="282"/>
      <c r="V19" s="186"/>
    </row>
    <row r="20" spans="1:22" s="59" customFormat="1" ht="31.5">
      <c r="A20" s="167"/>
      <c r="B20" s="285" t="s">
        <v>165</v>
      </c>
      <c r="C20" s="205" t="s">
        <v>37</v>
      </c>
      <c r="D20" s="214" t="s">
        <v>72</v>
      </c>
      <c r="E20" s="177">
        <f t="shared" si="3"/>
        <v>109.25</v>
      </c>
      <c r="F20" s="260">
        <v>1</v>
      </c>
      <c r="G20" s="264">
        <v>109.25</v>
      </c>
      <c r="H20" s="363">
        <f t="shared" si="6"/>
        <v>1</v>
      </c>
      <c r="I20" s="133">
        <f t="shared" si="7"/>
        <v>109.25</v>
      </c>
      <c r="J20" s="411">
        <f t="shared" si="11"/>
        <v>134.995</v>
      </c>
      <c r="K20" s="395">
        <v>1</v>
      </c>
      <c r="L20" s="419">
        <f>161.994/1.2</f>
        <v>134.995</v>
      </c>
      <c r="M20" s="395">
        <v>1</v>
      </c>
      <c r="N20" s="422">
        <f>161.994/1.2</f>
        <v>134.995</v>
      </c>
      <c r="O20" s="214" t="s">
        <v>72</v>
      </c>
      <c r="P20" s="446"/>
      <c r="Q20" s="88">
        <f t="shared" si="8"/>
        <v>0</v>
      </c>
      <c r="R20" s="85">
        <f t="shared" si="9"/>
        <v>-25.745000000000005</v>
      </c>
      <c r="S20" s="86">
        <f t="shared" si="2"/>
        <v>25.745000000000005</v>
      </c>
      <c r="T20" s="224">
        <f t="shared" si="10"/>
        <v>0.23565217391304352</v>
      </c>
      <c r="U20" s="282"/>
      <c r="V20" s="186"/>
    </row>
    <row r="21" spans="1:22" s="59" customFormat="1" ht="15.75">
      <c r="A21" s="167"/>
      <c r="B21" s="285" t="s">
        <v>166</v>
      </c>
      <c r="C21" s="205" t="s">
        <v>37</v>
      </c>
      <c r="D21" s="214" t="s">
        <v>156</v>
      </c>
      <c r="E21" s="177">
        <f t="shared" si="3"/>
        <v>113.25</v>
      </c>
      <c r="F21" s="260">
        <v>1</v>
      </c>
      <c r="G21" s="264">
        <v>113.25</v>
      </c>
      <c r="H21" s="363">
        <f t="shared" si="6"/>
        <v>1</v>
      </c>
      <c r="I21" s="133">
        <f t="shared" si="7"/>
        <v>113.25</v>
      </c>
      <c r="J21" s="411">
        <f t="shared" si="11"/>
        <v>65.177999999999997</v>
      </c>
      <c r="K21" s="395">
        <v>1</v>
      </c>
      <c r="L21" s="419">
        <f>78.2136/1.2</f>
        <v>65.177999999999997</v>
      </c>
      <c r="M21" s="395">
        <v>1</v>
      </c>
      <c r="N21" s="422">
        <f>78.2136/1.2</f>
        <v>65.177999999999997</v>
      </c>
      <c r="O21" s="214" t="s">
        <v>156</v>
      </c>
      <c r="P21" s="447"/>
      <c r="Q21" s="233">
        <f t="shared" si="8"/>
        <v>0</v>
      </c>
      <c r="R21" s="85">
        <f t="shared" si="9"/>
        <v>48.072000000000003</v>
      </c>
      <c r="S21" s="86">
        <f t="shared" si="2"/>
        <v>-48.072000000000003</v>
      </c>
      <c r="T21" s="224">
        <f t="shared" si="10"/>
        <v>-0.42447682119205299</v>
      </c>
      <c r="U21" s="282"/>
      <c r="V21" s="186"/>
    </row>
    <row r="22" spans="1:22" s="245" customFormat="1" ht="25.5">
      <c r="A22" s="240" t="s">
        <v>100</v>
      </c>
      <c r="B22" s="306" t="s">
        <v>167</v>
      </c>
      <c r="C22" s="195" t="s">
        <v>36</v>
      </c>
      <c r="D22" s="273" t="s">
        <v>156</v>
      </c>
      <c r="E22" s="307">
        <f t="shared" si="3"/>
        <v>441.64007548464576</v>
      </c>
      <c r="F22" s="310">
        <f>SUM(F23:F24)</f>
        <v>5.8289999999999997</v>
      </c>
      <c r="G22" s="312">
        <f>SUM(G23:G26)</f>
        <v>2574.3200000000002</v>
      </c>
      <c r="H22" s="310">
        <f>SUM(H23:H24)</f>
        <v>5.8289999999999997</v>
      </c>
      <c r="I22" s="312">
        <f>SUM(I23:I26)</f>
        <v>2574.3200000000002</v>
      </c>
      <c r="J22" s="307">
        <f t="shared" si="11"/>
        <v>438.60593583805115</v>
      </c>
      <c r="K22" s="310">
        <f>SUM(K23:K24)</f>
        <v>5.8289999999999997</v>
      </c>
      <c r="L22" s="311">
        <f>SUM(L23:L26)</f>
        <v>2556.634</v>
      </c>
      <c r="M22" s="310">
        <f>SUM(M23:M24)</f>
        <v>5.8289999999999997</v>
      </c>
      <c r="N22" s="312">
        <f>SUM(N23:N26)</f>
        <v>2556.634</v>
      </c>
      <c r="O22" s="273" t="s">
        <v>156</v>
      </c>
      <c r="P22" s="445"/>
      <c r="Q22" s="231">
        <f t="shared" si="8"/>
        <v>0</v>
      </c>
      <c r="R22" s="86">
        <f t="shared" si="9"/>
        <v>17.686000000000149</v>
      </c>
      <c r="S22" s="86">
        <f t="shared" si="2"/>
        <v>-17.686000000000149</v>
      </c>
      <c r="T22" s="223">
        <f t="shared" si="10"/>
        <v>-6.8701637714037042E-3</v>
      </c>
      <c r="U22" s="373" t="s">
        <v>386</v>
      </c>
      <c r="V22" s="188"/>
    </row>
    <row r="23" spans="1:22" s="59" customFormat="1" ht="15.75">
      <c r="A23" s="167"/>
      <c r="B23" s="283" t="s">
        <v>151</v>
      </c>
      <c r="C23" s="205" t="s">
        <v>36</v>
      </c>
      <c r="D23" s="214" t="s">
        <v>156</v>
      </c>
      <c r="E23" s="177">
        <f t="shared" si="3"/>
        <v>408.53100541842269</v>
      </c>
      <c r="F23" s="258">
        <v>4.9829999999999997</v>
      </c>
      <c r="G23" s="261">
        <v>2035.71</v>
      </c>
      <c r="H23" s="229">
        <f t="shared" si="6"/>
        <v>4.9829999999999997</v>
      </c>
      <c r="I23" s="133">
        <f t="shared" si="7"/>
        <v>2035.71</v>
      </c>
      <c r="J23" s="387">
        <f t="shared" si="11"/>
        <v>379.15914107967092</v>
      </c>
      <c r="K23" s="396">
        <v>4.9829999999999997</v>
      </c>
      <c r="L23" s="394">
        <f>(1214.8956+888.4632+163.8612)/1.2</f>
        <v>1889.35</v>
      </c>
      <c r="M23" s="396">
        <v>4.9829999999999997</v>
      </c>
      <c r="N23" s="402">
        <f>(1214.8956+888.4632+163.8612)/1.2</f>
        <v>1889.35</v>
      </c>
      <c r="O23" s="214" t="s">
        <v>156</v>
      </c>
      <c r="P23" s="446"/>
      <c r="Q23" s="233">
        <f t="shared" si="8"/>
        <v>0</v>
      </c>
      <c r="R23" s="85">
        <f t="shared" si="9"/>
        <v>146.36000000000013</v>
      </c>
      <c r="S23" s="86">
        <f t="shared" si="2"/>
        <v>-146.36000000000013</v>
      </c>
      <c r="T23" s="224">
        <f t="shared" si="10"/>
        <v>-7.1896291711491367E-2</v>
      </c>
      <c r="U23" s="282"/>
      <c r="V23" s="186"/>
    </row>
    <row r="24" spans="1:22" s="59" customFormat="1" ht="15.75">
      <c r="A24" s="167"/>
      <c r="B24" s="283" t="s">
        <v>152</v>
      </c>
      <c r="C24" s="205" t="s">
        <v>36</v>
      </c>
      <c r="D24" s="214" t="s">
        <v>156</v>
      </c>
      <c r="E24" s="177">
        <f t="shared" si="3"/>
        <v>447.52955082742318</v>
      </c>
      <c r="F24" s="258">
        <v>0.84599999999999997</v>
      </c>
      <c r="G24" s="261">
        <v>378.61</v>
      </c>
      <c r="H24" s="229">
        <f t="shared" si="6"/>
        <v>0.84599999999999997</v>
      </c>
      <c r="I24" s="133">
        <f t="shared" si="7"/>
        <v>378.61</v>
      </c>
      <c r="J24" s="387">
        <f t="shared" si="11"/>
        <v>549.8534278959811</v>
      </c>
      <c r="K24" s="396">
        <v>0.84599999999999997</v>
      </c>
      <c r="L24" s="394">
        <f>(279.8016+278.4096)/1.2</f>
        <v>465.17599999999999</v>
      </c>
      <c r="M24" s="396">
        <v>0.84599999999999997</v>
      </c>
      <c r="N24" s="402">
        <f>(279.8016+278.4096)/1.2</f>
        <v>465.17599999999999</v>
      </c>
      <c r="O24" s="214" t="s">
        <v>156</v>
      </c>
      <c r="P24" s="446"/>
      <c r="Q24" s="233">
        <f t="shared" si="8"/>
        <v>0</v>
      </c>
      <c r="R24" s="85">
        <f t="shared" si="9"/>
        <v>-86.565999999999974</v>
      </c>
      <c r="S24" s="86">
        <f t="shared" si="2"/>
        <v>86.565999999999974</v>
      </c>
      <c r="T24" s="224">
        <f t="shared" si="10"/>
        <v>0.228641610100103</v>
      </c>
      <c r="U24" s="282"/>
      <c r="V24" s="186"/>
    </row>
    <row r="25" spans="1:22" s="59" customFormat="1" ht="31.5">
      <c r="A25" s="167"/>
      <c r="B25" s="283" t="s">
        <v>153</v>
      </c>
      <c r="C25" s="205" t="s">
        <v>37</v>
      </c>
      <c r="D25" s="214" t="s">
        <v>156</v>
      </c>
      <c r="E25" s="177">
        <f t="shared" si="3"/>
        <v>80</v>
      </c>
      <c r="F25" s="260">
        <v>1</v>
      </c>
      <c r="G25" s="261">
        <v>80</v>
      </c>
      <c r="H25" s="363">
        <f t="shared" si="6"/>
        <v>1</v>
      </c>
      <c r="I25" s="133">
        <f t="shared" si="7"/>
        <v>80</v>
      </c>
      <c r="J25" s="402">
        <f>L25/K25</f>
        <v>140.84</v>
      </c>
      <c r="K25" s="397">
        <v>1</v>
      </c>
      <c r="L25" s="424">
        <f>169.008/1.2</f>
        <v>140.84</v>
      </c>
      <c r="M25" s="397">
        <v>1</v>
      </c>
      <c r="N25" s="423">
        <f>169.008/1.2</f>
        <v>140.84</v>
      </c>
      <c r="O25" s="214" t="s">
        <v>156</v>
      </c>
      <c r="P25" s="446"/>
      <c r="Q25" s="88">
        <f t="shared" si="8"/>
        <v>0</v>
      </c>
      <c r="R25" s="85">
        <f t="shared" si="9"/>
        <v>-60.84</v>
      </c>
      <c r="S25" s="86">
        <f t="shared" si="2"/>
        <v>60.84</v>
      </c>
      <c r="T25" s="224">
        <f t="shared" si="10"/>
        <v>0.76050000000000006</v>
      </c>
      <c r="U25" s="282"/>
      <c r="V25" s="186"/>
    </row>
    <row r="26" spans="1:22" s="59" customFormat="1" ht="15.75">
      <c r="A26" s="167"/>
      <c r="B26" s="283" t="s">
        <v>168</v>
      </c>
      <c r="C26" s="205" t="s">
        <v>37</v>
      </c>
      <c r="D26" s="214" t="s">
        <v>156</v>
      </c>
      <c r="E26" s="177">
        <f t="shared" si="3"/>
        <v>80</v>
      </c>
      <c r="F26" s="260">
        <v>1</v>
      </c>
      <c r="G26" s="261">
        <v>80</v>
      </c>
      <c r="H26" s="363">
        <f t="shared" si="6"/>
        <v>1</v>
      </c>
      <c r="I26" s="133">
        <f t="shared" si="7"/>
        <v>80</v>
      </c>
      <c r="J26" s="402">
        <f>L26/K26</f>
        <v>61.268000000000008</v>
      </c>
      <c r="K26" s="397">
        <v>1</v>
      </c>
      <c r="L26" s="424">
        <f>73.5216/1.2</f>
        <v>61.268000000000008</v>
      </c>
      <c r="M26" s="397">
        <v>1</v>
      </c>
      <c r="N26" s="423">
        <f>73.5216/1.2</f>
        <v>61.268000000000008</v>
      </c>
      <c r="O26" s="214" t="s">
        <v>156</v>
      </c>
      <c r="P26" s="447"/>
      <c r="Q26" s="88">
        <f t="shared" si="8"/>
        <v>0</v>
      </c>
      <c r="R26" s="85">
        <f t="shared" si="9"/>
        <v>18.731999999999992</v>
      </c>
      <c r="S26" s="86">
        <f t="shared" si="2"/>
        <v>-18.731999999999992</v>
      </c>
      <c r="T26" s="224">
        <f t="shared" si="10"/>
        <v>-0.23414999999999991</v>
      </c>
      <c r="U26" s="282"/>
      <c r="V26" s="186"/>
    </row>
    <row r="27" spans="1:22" s="59" customFormat="1" ht="15.75">
      <c r="A27" s="167"/>
      <c r="B27" s="303" t="s">
        <v>102</v>
      </c>
      <c r="C27" s="295"/>
      <c r="D27" s="295"/>
      <c r="E27" s="177"/>
      <c r="F27" s="261"/>
      <c r="G27" s="296"/>
      <c r="H27" s="229"/>
      <c r="I27" s="133"/>
      <c r="J27" s="85"/>
      <c r="K27" s="89"/>
      <c r="L27" s="85"/>
      <c r="M27" s="89"/>
      <c r="N27" s="266"/>
      <c r="O27" s="281"/>
      <c r="P27" s="281"/>
      <c r="Q27" s="233"/>
      <c r="R27" s="85"/>
      <c r="S27" s="86">
        <f t="shared" si="2"/>
        <v>0</v>
      </c>
      <c r="T27" s="224"/>
      <c r="U27" s="282"/>
      <c r="V27" s="186"/>
    </row>
    <row r="28" spans="1:22" s="245" customFormat="1" ht="15.75">
      <c r="A28" s="240" t="s">
        <v>101</v>
      </c>
      <c r="B28" s="314" t="s">
        <v>169</v>
      </c>
      <c r="C28" s="195" t="s">
        <v>36</v>
      </c>
      <c r="D28" s="273" t="s">
        <v>156</v>
      </c>
      <c r="E28" s="307">
        <f t="shared" si="3"/>
        <v>767.29111026325825</v>
      </c>
      <c r="F28" s="315">
        <f>SUM(F29:F30)</f>
        <v>2.621</v>
      </c>
      <c r="G28" s="316">
        <f>SUM(G29:G32)</f>
        <v>2011.07</v>
      </c>
      <c r="H28" s="315">
        <f>SUM(H29:H30)</f>
        <v>2.621</v>
      </c>
      <c r="I28" s="316">
        <f>SUM(I29:I32)</f>
        <v>2011.07</v>
      </c>
      <c r="J28" s="242"/>
      <c r="K28" s="243"/>
      <c r="L28" s="174"/>
      <c r="M28" s="243"/>
      <c r="N28" s="265"/>
      <c r="O28" s="445"/>
      <c r="P28" s="445"/>
      <c r="Q28" s="231">
        <f t="shared" ref="Q28:Q37" si="12">H28-K28</f>
        <v>2.621</v>
      </c>
      <c r="R28" s="86">
        <f t="shared" ref="R28:R37" si="13">I28-L28</f>
        <v>2011.07</v>
      </c>
      <c r="S28" s="86">
        <f t="shared" si="2"/>
        <v>-2011.07</v>
      </c>
      <c r="T28" s="223">
        <f t="shared" ref="T28:T37" si="14">(J28-E28)/E28</f>
        <v>-1</v>
      </c>
      <c r="U28" s="372" t="s">
        <v>387</v>
      </c>
      <c r="V28" s="188"/>
    </row>
    <row r="29" spans="1:22" s="59" customFormat="1" ht="15.75">
      <c r="A29" s="167"/>
      <c r="B29" s="283" t="s">
        <v>151</v>
      </c>
      <c r="C29" s="205" t="s">
        <v>36</v>
      </c>
      <c r="D29" s="214" t="s">
        <v>156</v>
      </c>
      <c r="E29" s="177">
        <f t="shared" si="3"/>
        <v>684.37136465324386</v>
      </c>
      <c r="F29" s="255">
        <v>2.2349999999999999</v>
      </c>
      <c r="G29" s="262">
        <v>1529.57</v>
      </c>
      <c r="H29" s="229">
        <f t="shared" si="6"/>
        <v>2.2349999999999999</v>
      </c>
      <c r="I29" s="133">
        <f t="shared" si="7"/>
        <v>1529.57</v>
      </c>
      <c r="J29" s="175"/>
      <c r="K29" s="255"/>
      <c r="L29" s="262"/>
      <c r="M29" s="255"/>
      <c r="N29" s="254"/>
      <c r="O29" s="446"/>
      <c r="P29" s="446"/>
      <c r="Q29" s="233">
        <f t="shared" si="12"/>
        <v>2.2349999999999999</v>
      </c>
      <c r="R29" s="85">
        <f t="shared" si="13"/>
        <v>1529.57</v>
      </c>
      <c r="S29" s="86">
        <f t="shared" si="2"/>
        <v>-1529.57</v>
      </c>
      <c r="T29" s="224">
        <f t="shared" si="14"/>
        <v>-1</v>
      </c>
      <c r="U29" s="282"/>
      <c r="V29" s="186"/>
    </row>
    <row r="30" spans="1:22" s="59" customFormat="1" ht="15.75">
      <c r="A30" s="167"/>
      <c r="B30" s="283" t="s">
        <v>154</v>
      </c>
      <c r="C30" s="205" t="s">
        <v>36</v>
      </c>
      <c r="D30" s="214" t="s">
        <v>156</v>
      </c>
      <c r="E30" s="177">
        <f t="shared" si="3"/>
        <v>832.90155440414503</v>
      </c>
      <c r="F30" s="255">
        <v>0.38600000000000001</v>
      </c>
      <c r="G30" s="262">
        <v>321.5</v>
      </c>
      <c r="H30" s="229">
        <f t="shared" si="6"/>
        <v>0.38600000000000001</v>
      </c>
      <c r="I30" s="133">
        <f t="shared" si="7"/>
        <v>321.5</v>
      </c>
      <c r="J30" s="175"/>
      <c r="K30" s="255"/>
      <c r="L30" s="262"/>
      <c r="M30" s="255"/>
      <c r="N30" s="254"/>
      <c r="O30" s="446"/>
      <c r="P30" s="446"/>
      <c r="Q30" s="233">
        <f t="shared" si="12"/>
        <v>0.38600000000000001</v>
      </c>
      <c r="R30" s="85">
        <f t="shared" si="13"/>
        <v>321.5</v>
      </c>
      <c r="S30" s="86">
        <f t="shared" si="2"/>
        <v>-321.5</v>
      </c>
      <c r="T30" s="224">
        <f t="shared" si="14"/>
        <v>-1</v>
      </c>
      <c r="U30" s="282"/>
      <c r="V30" s="186"/>
    </row>
    <row r="31" spans="1:22" s="59" customFormat="1" ht="31.5">
      <c r="A31" s="167"/>
      <c r="B31" s="283" t="s">
        <v>164</v>
      </c>
      <c r="C31" s="205" t="s">
        <v>37</v>
      </c>
      <c r="D31" s="214" t="s">
        <v>156</v>
      </c>
      <c r="E31" s="177">
        <f t="shared" si="3"/>
        <v>80</v>
      </c>
      <c r="F31" s="256">
        <v>1</v>
      </c>
      <c r="G31" s="262">
        <v>80</v>
      </c>
      <c r="H31" s="363">
        <f t="shared" si="6"/>
        <v>1</v>
      </c>
      <c r="I31" s="133">
        <f t="shared" si="7"/>
        <v>80</v>
      </c>
      <c r="J31" s="175"/>
      <c r="K31" s="129"/>
      <c r="L31" s="85"/>
      <c r="M31" s="129"/>
      <c r="N31" s="89"/>
      <c r="O31" s="446"/>
      <c r="P31" s="446"/>
      <c r="Q31" s="88">
        <f t="shared" si="12"/>
        <v>1</v>
      </c>
      <c r="R31" s="85">
        <f t="shared" si="13"/>
        <v>80</v>
      </c>
      <c r="S31" s="86">
        <f t="shared" si="2"/>
        <v>-80</v>
      </c>
      <c r="T31" s="224">
        <f t="shared" si="14"/>
        <v>-1</v>
      </c>
      <c r="U31" s="282"/>
      <c r="V31" s="186"/>
    </row>
    <row r="32" spans="1:22" s="59" customFormat="1" ht="15.75">
      <c r="A32" s="167"/>
      <c r="B32" s="283" t="s">
        <v>170</v>
      </c>
      <c r="C32" s="205" t="s">
        <v>37</v>
      </c>
      <c r="D32" s="214" t="s">
        <v>156</v>
      </c>
      <c r="E32" s="177">
        <f t="shared" si="3"/>
        <v>80</v>
      </c>
      <c r="F32" s="256">
        <v>1</v>
      </c>
      <c r="G32" s="262">
        <v>80</v>
      </c>
      <c r="H32" s="363">
        <f t="shared" si="6"/>
        <v>1</v>
      </c>
      <c r="I32" s="133">
        <f t="shared" si="7"/>
        <v>80</v>
      </c>
      <c r="J32" s="175"/>
      <c r="K32" s="129"/>
      <c r="L32" s="85"/>
      <c r="M32" s="129"/>
      <c r="N32" s="89"/>
      <c r="O32" s="447"/>
      <c r="P32" s="447"/>
      <c r="Q32" s="88">
        <f t="shared" si="12"/>
        <v>1</v>
      </c>
      <c r="R32" s="85">
        <f t="shared" si="13"/>
        <v>80</v>
      </c>
      <c r="S32" s="86">
        <f t="shared" si="2"/>
        <v>-80</v>
      </c>
      <c r="T32" s="224">
        <f t="shared" si="14"/>
        <v>-1</v>
      </c>
      <c r="U32" s="282"/>
      <c r="V32" s="186"/>
    </row>
    <row r="33" spans="1:22" s="245" customFormat="1" ht="38.25">
      <c r="A33" s="240" t="s">
        <v>103</v>
      </c>
      <c r="B33" s="317" t="s">
        <v>171</v>
      </c>
      <c r="C33" s="195" t="s">
        <v>36</v>
      </c>
      <c r="D33" s="273" t="s">
        <v>72</v>
      </c>
      <c r="E33" s="307">
        <f>G33/F33</f>
        <v>685.58842866535167</v>
      </c>
      <c r="F33" s="315">
        <f>SUM(F34:F35)</f>
        <v>1.5210000000000001</v>
      </c>
      <c r="G33" s="318">
        <f>SUM(G34:G37)</f>
        <v>1042.78</v>
      </c>
      <c r="H33" s="315">
        <f>SUM(H34:H35)</f>
        <v>1.5210000000000001</v>
      </c>
      <c r="I33" s="318">
        <f>SUM(I34:I37)</f>
        <v>1042.78</v>
      </c>
      <c r="J33" s="307">
        <f>L33/K33</f>
        <v>680.73044049967132</v>
      </c>
      <c r="K33" s="315">
        <f>K34+K35</f>
        <v>1.5210000000000001</v>
      </c>
      <c r="L33" s="322">
        <f>SUM(L34:L37)</f>
        <v>1035.3910000000001</v>
      </c>
      <c r="M33" s="315">
        <f>M34+M35</f>
        <v>1.5210000000000001</v>
      </c>
      <c r="N33" s="318">
        <f>SUM(N34:N37)</f>
        <v>1035.3910000000001</v>
      </c>
      <c r="O33" s="273" t="s">
        <v>72</v>
      </c>
      <c r="P33" s="445" t="s">
        <v>421</v>
      </c>
      <c r="Q33" s="231">
        <f t="shared" si="12"/>
        <v>0</v>
      </c>
      <c r="R33" s="86">
        <f t="shared" si="13"/>
        <v>7.3889999999998963</v>
      </c>
      <c r="S33" s="86">
        <f t="shared" si="2"/>
        <v>-7.3889999999998963</v>
      </c>
      <c r="T33" s="223">
        <f t="shared" si="14"/>
        <v>-7.0858666257502239E-3</v>
      </c>
      <c r="U33" s="373" t="s">
        <v>388</v>
      </c>
      <c r="V33" s="188"/>
    </row>
    <row r="34" spans="1:22" s="59" customFormat="1" ht="15.75">
      <c r="A34" s="167"/>
      <c r="B34" s="283" t="s">
        <v>151</v>
      </c>
      <c r="C34" s="205" t="s">
        <v>36</v>
      </c>
      <c r="D34" s="214" t="s">
        <v>72</v>
      </c>
      <c r="E34" s="177">
        <f>G34/F34</f>
        <v>586.68504479669184</v>
      </c>
      <c r="F34" s="286">
        <v>1.4510000000000001</v>
      </c>
      <c r="G34" s="271">
        <v>851.28</v>
      </c>
      <c r="H34" s="229">
        <f t="shared" si="6"/>
        <v>1.4510000000000001</v>
      </c>
      <c r="I34" s="133">
        <f t="shared" si="7"/>
        <v>851.28</v>
      </c>
      <c r="J34" s="387">
        <f>L34/K34</f>
        <v>552.67953135768437</v>
      </c>
      <c r="K34" s="398" t="s">
        <v>403</v>
      </c>
      <c r="L34" s="389">
        <f>470.058+331.88</f>
        <v>801.93799999999999</v>
      </c>
      <c r="M34" s="398" t="s">
        <v>403</v>
      </c>
      <c r="N34" s="399">
        <f>470.058+331.88</f>
        <v>801.93799999999999</v>
      </c>
      <c r="O34" s="214" t="s">
        <v>72</v>
      </c>
      <c r="P34" s="446"/>
      <c r="Q34" s="233">
        <f t="shared" si="12"/>
        <v>0</v>
      </c>
      <c r="R34" s="85">
        <f t="shared" si="13"/>
        <v>49.341999999999985</v>
      </c>
      <c r="S34" s="86">
        <f t="shared" si="2"/>
        <v>-49.341999999999985</v>
      </c>
      <c r="T34" s="224">
        <f t="shared" si="14"/>
        <v>-5.7962127619584448E-2</v>
      </c>
      <c r="U34" s="282"/>
      <c r="V34" s="186"/>
    </row>
    <row r="35" spans="1:22" s="59" customFormat="1" ht="15.75">
      <c r="A35" s="167"/>
      <c r="B35" s="283" t="s">
        <v>152</v>
      </c>
      <c r="C35" s="205" t="s">
        <v>36</v>
      </c>
      <c r="D35" s="214" t="s">
        <v>72</v>
      </c>
      <c r="E35" s="177">
        <f>G35/F35</f>
        <v>450</v>
      </c>
      <c r="F35" s="287">
        <v>7.0000000000000007E-2</v>
      </c>
      <c r="G35" s="271">
        <v>31.500000000000004</v>
      </c>
      <c r="H35" s="229">
        <f t="shared" si="6"/>
        <v>7.0000000000000007E-2</v>
      </c>
      <c r="I35" s="133">
        <f t="shared" si="7"/>
        <v>31.500000000000004</v>
      </c>
      <c r="J35" s="387">
        <f>L35/K35</f>
        <v>922.12857142857149</v>
      </c>
      <c r="K35" s="400">
        <v>7.0000000000000007E-2</v>
      </c>
      <c r="L35" s="389">
        <f>77.4588/1.2</f>
        <v>64.549000000000007</v>
      </c>
      <c r="M35" s="400">
        <v>7.0000000000000007E-2</v>
      </c>
      <c r="N35" s="399">
        <f>77.4588/1.2</f>
        <v>64.549000000000007</v>
      </c>
      <c r="O35" s="214" t="s">
        <v>72</v>
      </c>
      <c r="P35" s="446"/>
      <c r="Q35" s="233">
        <f t="shared" si="12"/>
        <v>0</v>
      </c>
      <c r="R35" s="85">
        <f t="shared" si="13"/>
        <v>-33.049000000000007</v>
      </c>
      <c r="S35" s="86">
        <f t="shared" si="2"/>
        <v>33.049000000000007</v>
      </c>
      <c r="T35" s="224">
        <f t="shared" si="14"/>
        <v>1.0491746031746032</v>
      </c>
      <c r="U35" s="282"/>
      <c r="V35" s="186"/>
    </row>
    <row r="36" spans="1:22" s="59" customFormat="1" ht="31.5">
      <c r="A36" s="167"/>
      <c r="B36" s="283" t="s">
        <v>172</v>
      </c>
      <c r="C36" s="205" t="s">
        <v>37</v>
      </c>
      <c r="D36" s="214" t="s">
        <v>72</v>
      </c>
      <c r="E36" s="177">
        <f>G36/F36</f>
        <v>80</v>
      </c>
      <c r="F36" s="287">
        <v>1</v>
      </c>
      <c r="G36" s="254">
        <v>80</v>
      </c>
      <c r="H36" s="363">
        <f t="shared" si="6"/>
        <v>1</v>
      </c>
      <c r="I36" s="133">
        <f t="shared" si="7"/>
        <v>80</v>
      </c>
      <c r="J36" s="387">
        <f>L36/K36</f>
        <v>123.00800000000001</v>
      </c>
      <c r="K36" s="400">
        <v>1</v>
      </c>
      <c r="L36" s="406">
        <f>147.6096/1.2</f>
        <v>123.00800000000001</v>
      </c>
      <c r="M36" s="400">
        <v>1</v>
      </c>
      <c r="N36" s="401">
        <f>147.6096/1.2</f>
        <v>123.00800000000001</v>
      </c>
      <c r="O36" s="214" t="s">
        <v>72</v>
      </c>
      <c r="P36" s="446"/>
      <c r="Q36" s="88">
        <f t="shared" si="12"/>
        <v>0</v>
      </c>
      <c r="R36" s="85">
        <f t="shared" si="13"/>
        <v>-43.00800000000001</v>
      </c>
      <c r="S36" s="86">
        <f t="shared" si="2"/>
        <v>43.00800000000001</v>
      </c>
      <c r="T36" s="224">
        <f t="shared" si="14"/>
        <v>0.53760000000000008</v>
      </c>
      <c r="U36" s="282"/>
      <c r="V36" s="186"/>
    </row>
    <row r="37" spans="1:22" s="59" customFormat="1" ht="15.75">
      <c r="A37" s="167"/>
      <c r="B37" s="283" t="s">
        <v>173</v>
      </c>
      <c r="C37" s="205" t="s">
        <v>37</v>
      </c>
      <c r="D37" s="214" t="s">
        <v>72</v>
      </c>
      <c r="E37" s="177">
        <f>G37/F37</f>
        <v>80</v>
      </c>
      <c r="F37" s="287">
        <v>1</v>
      </c>
      <c r="G37" s="254">
        <v>80</v>
      </c>
      <c r="H37" s="363">
        <f t="shared" si="6"/>
        <v>1</v>
      </c>
      <c r="I37" s="133">
        <f t="shared" si="7"/>
        <v>80</v>
      </c>
      <c r="J37" s="387">
        <f>L37/K37</f>
        <v>45.896000000000001</v>
      </c>
      <c r="K37" s="400">
        <v>1</v>
      </c>
      <c r="L37" s="406">
        <f>55.0752/1.2</f>
        <v>45.896000000000001</v>
      </c>
      <c r="M37" s="400">
        <v>1</v>
      </c>
      <c r="N37" s="401">
        <f>55.0752/1.2</f>
        <v>45.896000000000001</v>
      </c>
      <c r="O37" s="214" t="s">
        <v>72</v>
      </c>
      <c r="P37" s="447"/>
      <c r="Q37" s="88">
        <f t="shared" si="12"/>
        <v>0</v>
      </c>
      <c r="R37" s="85">
        <f t="shared" si="13"/>
        <v>34.103999999999999</v>
      </c>
      <c r="S37" s="86">
        <f t="shared" si="2"/>
        <v>-34.103999999999999</v>
      </c>
      <c r="T37" s="224">
        <f t="shared" si="14"/>
        <v>-0.42630000000000001</v>
      </c>
      <c r="U37" s="282"/>
      <c r="V37" s="186"/>
    </row>
    <row r="38" spans="1:22" s="59" customFormat="1" ht="15.75">
      <c r="A38" s="167"/>
      <c r="B38" s="302" t="s">
        <v>86</v>
      </c>
      <c r="C38" s="293"/>
      <c r="D38" s="293"/>
      <c r="E38" s="177"/>
      <c r="F38" s="254"/>
      <c r="G38" s="297"/>
      <c r="H38" s="229"/>
      <c r="I38" s="133"/>
      <c r="J38" s="175"/>
      <c r="K38" s="256"/>
      <c r="L38" s="254"/>
      <c r="M38" s="256"/>
      <c r="N38" s="254"/>
      <c r="O38" s="281"/>
      <c r="P38" s="281"/>
      <c r="Q38" s="233"/>
      <c r="R38" s="85"/>
      <c r="S38" s="86">
        <f t="shared" si="2"/>
        <v>0</v>
      </c>
      <c r="T38" s="224"/>
      <c r="U38" s="282"/>
      <c r="V38" s="186"/>
    </row>
    <row r="39" spans="1:22" s="245" customFormat="1" ht="15.75" customHeight="1">
      <c r="A39" s="240" t="s">
        <v>104</v>
      </c>
      <c r="B39" s="306" t="s">
        <v>174</v>
      </c>
      <c r="C39" s="195" t="s">
        <v>36</v>
      </c>
      <c r="D39" s="273" t="s">
        <v>156</v>
      </c>
      <c r="E39" s="307">
        <f t="shared" ref="E39:E65" si="15">G39/F39</f>
        <v>397.86461393818308</v>
      </c>
      <c r="F39" s="310">
        <f>SUM(F40:F41)</f>
        <v>8.5090000000000003</v>
      </c>
      <c r="G39" s="311">
        <f>SUM(G40:G43)</f>
        <v>3385.43</v>
      </c>
      <c r="H39" s="310">
        <f>SUM(H40:H41)</f>
        <v>8.5090000000000003</v>
      </c>
      <c r="I39" s="311">
        <f>SUM(I40:I43)</f>
        <v>3385.43</v>
      </c>
      <c r="J39" s="242"/>
      <c r="K39" s="253"/>
      <c r="L39" s="263"/>
      <c r="M39" s="253"/>
      <c r="N39" s="242"/>
      <c r="O39" s="445"/>
      <c r="P39" s="445"/>
      <c r="Q39" s="231">
        <f t="shared" ref="Q39:Q47" si="16">H39-K39</f>
        <v>8.5090000000000003</v>
      </c>
      <c r="R39" s="86">
        <f t="shared" ref="R39:R47" si="17">I39-L39</f>
        <v>3385.43</v>
      </c>
      <c r="S39" s="86">
        <f t="shared" si="2"/>
        <v>-3385.43</v>
      </c>
      <c r="T39" s="223">
        <f t="shared" ref="T39:T47" si="18">(J39-E39)/E39</f>
        <v>-1</v>
      </c>
      <c r="U39" s="373" t="s">
        <v>386</v>
      </c>
      <c r="V39" s="188"/>
    </row>
    <row r="40" spans="1:22" s="59" customFormat="1" ht="15.75">
      <c r="A40" s="167"/>
      <c r="B40" s="285" t="s">
        <v>151</v>
      </c>
      <c r="C40" s="205" t="s">
        <v>36</v>
      </c>
      <c r="D40" s="214" t="s">
        <v>156</v>
      </c>
      <c r="E40" s="177">
        <f t="shared" si="15"/>
        <v>374.7934652676318</v>
      </c>
      <c r="F40" s="258">
        <v>7.5289999999999999</v>
      </c>
      <c r="G40" s="264">
        <v>2821.8199999999997</v>
      </c>
      <c r="H40" s="229">
        <f t="shared" si="6"/>
        <v>7.5289999999999999</v>
      </c>
      <c r="I40" s="133">
        <f t="shared" si="7"/>
        <v>2821.8199999999997</v>
      </c>
      <c r="J40" s="175"/>
      <c r="K40" s="164"/>
      <c r="L40" s="173"/>
      <c r="M40" s="164"/>
      <c r="N40" s="266"/>
      <c r="O40" s="446"/>
      <c r="P40" s="446"/>
      <c r="Q40" s="233">
        <f t="shared" si="16"/>
        <v>7.5289999999999999</v>
      </c>
      <c r="R40" s="85">
        <f t="shared" si="17"/>
        <v>2821.8199999999997</v>
      </c>
      <c r="S40" s="86">
        <f t="shared" si="2"/>
        <v>-2821.8199999999997</v>
      </c>
      <c r="T40" s="224">
        <f t="shared" si="18"/>
        <v>-1</v>
      </c>
      <c r="U40" s="282"/>
      <c r="V40" s="186"/>
    </row>
    <row r="41" spans="1:22" s="59" customFormat="1" ht="15.75">
      <c r="A41" s="167"/>
      <c r="B41" s="285" t="s">
        <v>152</v>
      </c>
      <c r="C41" s="205" t="s">
        <v>36</v>
      </c>
      <c r="D41" s="214" t="s">
        <v>156</v>
      </c>
      <c r="E41" s="177">
        <f t="shared" si="15"/>
        <v>411.84693877551024</v>
      </c>
      <c r="F41" s="258">
        <v>0.98</v>
      </c>
      <c r="G41" s="264">
        <v>403.61</v>
      </c>
      <c r="H41" s="229">
        <f t="shared" si="6"/>
        <v>0.98</v>
      </c>
      <c r="I41" s="133">
        <f t="shared" si="7"/>
        <v>403.61</v>
      </c>
      <c r="J41" s="175"/>
      <c r="K41" s="164"/>
      <c r="L41" s="173"/>
      <c r="M41" s="164"/>
      <c r="N41" s="266"/>
      <c r="O41" s="446"/>
      <c r="P41" s="446"/>
      <c r="Q41" s="233">
        <f t="shared" si="16"/>
        <v>0.98</v>
      </c>
      <c r="R41" s="85">
        <f t="shared" si="17"/>
        <v>403.61</v>
      </c>
      <c r="S41" s="86">
        <f t="shared" si="2"/>
        <v>-403.61</v>
      </c>
      <c r="T41" s="224">
        <f t="shared" si="18"/>
        <v>-1</v>
      </c>
      <c r="U41" s="282"/>
      <c r="V41" s="186"/>
    </row>
    <row r="42" spans="1:22" s="59" customFormat="1" ht="15.75">
      <c r="A42" s="167"/>
      <c r="B42" s="285" t="s">
        <v>175</v>
      </c>
      <c r="C42" s="205" t="s">
        <v>37</v>
      </c>
      <c r="D42" s="214" t="s">
        <v>156</v>
      </c>
      <c r="E42" s="177">
        <f t="shared" si="15"/>
        <v>80</v>
      </c>
      <c r="F42" s="288">
        <v>1</v>
      </c>
      <c r="G42" s="264">
        <v>80</v>
      </c>
      <c r="H42" s="363">
        <f t="shared" si="6"/>
        <v>1</v>
      </c>
      <c r="I42" s="133">
        <f t="shared" si="7"/>
        <v>80</v>
      </c>
      <c r="J42" s="175"/>
      <c r="K42" s="320"/>
      <c r="L42" s="173"/>
      <c r="M42" s="320"/>
      <c r="N42" s="173"/>
      <c r="O42" s="446"/>
      <c r="P42" s="446"/>
      <c r="Q42" s="88">
        <f t="shared" si="16"/>
        <v>1</v>
      </c>
      <c r="R42" s="85">
        <f t="shared" si="17"/>
        <v>80</v>
      </c>
      <c r="S42" s="86">
        <f t="shared" si="2"/>
        <v>-80</v>
      </c>
      <c r="T42" s="224">
        <f t="shared" si="18"/>
        <v>-1</v>
      </c>
      <c r="U42" s="282"/>
      <c r="V42" s="186"/>
    </row>
    <row r="43" spans="1:22" s="59" customFormat="1" ht="15.75">
      <c r="A43" s="167"/>
      <c r="B43" s="285" t="s">
        <v>176</v>
      </c>
      <c r="C43" s="205" t="s">
        <v>37</v>
      </c>
      <c r="D43" s="214" t="s">
        <v>156</v>
      </c>
      <c r="E43" s="177">
        <f t="shared" si="15"/>
        <v>80</v>
      </c>
      <c r="F43" s="288">
        <v>1</v>
      </c>
      <c r="G43" s="264">
        <v>80</v>
      </c>
      <c r="H43" s="363">
        <f t="shared" si="6"/>
        <v>1</v>
      </c>
      <c r="I43" s="133">
        <f t="shared" si="7"/>
        <v>80</v>
      </c>
      <c r="J43" s="175"/>
      <c r="K43" s="255"/>
      <c r="L43" s="262"/>
      <c r="M43" s="255"/>
      <c r="N43" s="254"/>
      <c r="O43" s="447"/>
      <c r="P43" s="447"/>
      <c r="Q43" s="88">
        <f t="shared" si="16"/>
        <v>1</v>
      </c>
      <c r="R43" s="85">
        <f t="shared" si="17"/>
        <v>80</v>
      </c>
      <c r="S43" s="86">
        <f t="shared" si="2"/>
        <v>-80</v>
      </c>
      <c r="T43" s="224">
        <f t="shared" si="18"/>
        <v>-1</v>
      </c>
      <c r="U43" s="282"/>
      <c r="V43" s="186"/>
    </row>
    <row r="44" spans="1:22" s="245" customFormat="1" ht="25.5">
      <c r="A44" s="240" t="s">
        <v>105</v>
      </c>
      <c r="B44" s="306" t="s">
        <v>177</v>
      </c>
      <c r="C44" s="195" t="s">
        <v>36</v>
      </c>
      <c r="D44" s="273" t="s">
        <v>156</v>
      </c>
      <c r="E44" s="307">
        <f t="shared" si="15"/>
        <v>396.37847487885745</v>
      </c>
      <c r="F44" s="310">
        <f>F45</f>
        <v>3.9209999999999998</v>
      </c>
      <c r="G44" s="312">
        <f>G45</f>
        <v>1554.2</v>
      </c>
      <c r="H44" s="310">
        <f>H45</f>
        <v>3.9209999999999998</v>
      </c>
      <c r="I44" s="312">
        <f>I45</f>
        <v>1554.2</v>
      </c>
      <c r="J44" s="242"/>
      <c r="K44" s="315"/>
      <c r="L44" s="316"/>
      <c r="M44" s="315"/>
      <c r="N44" s="278"/>
      <c r="O44" s="445"/>
      <c r="P44" s="445"/>
      <c r="Q44" s="231">
        <f t="shared" si="16"/>
        <v>3.9209999999999998</v>
      </c>
      <c r="R44" s="86">
        <f t="shared" si="17"/>
        <v>1554.2</v>
      </c>
      <c r="S44" s="86">
        <f t="shared" si="2"/>
        <v>-1554.2</v>
      </c>
      <c r="T44" s="223">
        <f t="shared" si="18"/>
        <v>-1</v>
      </c>
      <c r="U44" s="373" t="s">
        <v>385</v>
      </c>
      <c r="V44" s="188"/>
    </row>
    <row r="45" spans="1:22" s="59" customFormat="1" ht="15.75">
      <c r="A45" s="167"/>
      <c r="B45" s="285" t="s">
        <v>151</v>
      </c>
      <c r="C45" s="205" t="s">
        <v>36</v>
      </c>
      <c r="D45" s="214" t="s">
        <v>156</v>
      </c>
      <c r="E45" s="177">
        <f t="shared" si="15"/>
        <v>396.37847487885745</v>
      </c>
      <c r="F45" s="258">
        <v>3.9209999999999998</v>
      </c>
      <c r="G45" s="264">
        <v>1554.2</v>
      </c>
      <c r="H45" s="258">
        <v>3.9209999999999998</v>
      </c>
      <c r="I45" s="261">
        <v>1554.2</v>
      </c>
      <c r="J45" s="175"/>
      <c r="K45" s="256"/>
      <c r="L45" s="262"/>
      <c r="M45" s="256"/>
      <c r="N45" s="254"/>
      <c r="O45" s="447"/>
      <c r="P45" s="447"/>
      <c r="Q45" s="233">
        <f t="shared" si="16"/>
        <v>3.9209999999999998</v>
      </c>
      <c r="R45" s="85">
        <f t="shared" si="17"/>
        <v>1554.2</v>
      </c>
      <c r="S45" s="86">
        <f t="shared" si="2"/>
        <v>-1554.2</v>
      </c>
      <c r="T45" s="224">
        <f t="shared" si="18"/>
        <v>-1</v>
      </c>
      <c r="U45" s="282"/>
      <c r="V45" s="186"/>
    </row>
    <row r="46" spans="1:22" s="245" customFormat="1" ht="15.75" customHeight="1">
      <c r="A46" s="240" t="s">
        <v>106</v>
      </c>
      <c r="B46" s="317" t="s">
        <v>178</v>
      </c>
      <c r="C46" s="195" t="s">
        <v>36</v>
      </c>
      <c r="D46" s="273" t="s">
        <v>156</v>
      </c>
      <c r="E46" s="307">
        <f>G46/F46</f>
        <v>577.48693054518299</v>
      </c>
      <c r="F46" s="315">
        <f>F47</f>
        <v>2.6779999999999999</v>
      </c>
      <c r="G46" s="278">
        <f>G47</f>
        <v>1546.51</v>
      </c>
      <c r="H46" s="319">
        <f>H47</f>
        <v>2.6779999999999999</v>
      </c>
      <c r="I46" s="367">
        <f>I47</f>
        <v>1546.51</v>
      </c>
      <c r="J46" s="242"/>
      <c r="K46" s="313"/>
      <c r="L46" s="174"/>
      <c r="M46" s="313"/>
      <c r="N46" s="265"/>
      <c r="O46" s="445"/>
      <c r="P46" s="445"/>
      <c r="Q46" s="231">
        <f t="shared" si="16"/>
        <v>2.6779999999999999</v>
      </c>
      <c r="R46" s="86">
        <f t="shared" si="17"/>
        <v>1546.51</v>
      </c>
      <c r="S46" s="86">
        <f t="shared" si="2"/>
        <v>-1546.51</v>
      </c>
      <c r="T46" s="223">
        <f t="shared" si="18"/>
        <v>-1</v>
      </c>
      <c r="U46" s="373" t="s">
        <v>385</v>
      </c>
      <c r="V46" s="188"/>
    </row>
    <row r="47" spans="1:22" s="59" customFormat="1" ht="15.75">
      <c r="A47" s="167"/>
      <c r="B47" s="283" t="s">
        <v>151</v>
      </c>
      <c r="C47" s="205" t="s">
        <v>36</v>
      </c>
      <c r="D47" s="214" t="s">
        <v>156</v>
      </c>
      <c r="E47" s="177">
        <f>G47/F47</f>
        <v>577.48693054518299</v>
      </c>
      <c r="F47" s="286">
        <v>2.6779999999999999</v>
      </c>
      <c r="G47" s="271">
        <v>1546.51</v>
      </c>
      <c r="H47" s="164">
        <v>2.6779999999999999</v>
      </c>
      <c r="I47" s="173">
        <v>1546.51</v>
      </c>
      <c r="J47" s="175"/>
      <c r="K47" s="164"/>
      <c r="L47" s="173"/>
      <c r="M47" s="164"/>
      <c r="N47" s="266"/>
      <c r="O47" s="447"/>
      <c r="P47" s="447"/>
      <c r="Q47" s="233">
        <f t="shared" si="16"/>
        <v>2.6779999999999999</v>
      </c>
      <c r="R47" s="85">
        <f t="shared" si="17"/>
        <v>1546.51</v>
      </c>
      <c r="S47" s="86">
        <f t="shared" si="2"/>
        <v>-1546.51</v>
      </c>
      <c r="T47" s="224">
        <f t="shared" si="18"/>
        <v>-1</v>
      </c>
      <c r="U47" s="282"/>
      <c r="V47" s="186"/>
    </row>
    <row r="48" spans="1:22" s="59" customFormat="1" ht="15.75">
      <c r="A48" s="167"/>
      <c r="B48" s="302" t="s">
        <v>179</v>
      </c>
      <c r="C48" s="293"/>
      <c r="D48" s="293"/>
      <c r="E48" s="177"/>
      <c r="F48" s="261"/>
      <c r="G48" s="296"/>
      <c r="H48" s="255"/>
      <c r="I48" s="254"/>
      <c r="J48" s="175"/>
      <c r="K48" s="255"/>
      <c r="L48" s="262"/>
      <c r="M48" s="255"/>
      <c r="N48" s="254"/>
      <c r="O48" s="281"/>
      <c r="P48" s="281"/>
      <c r="Q48" s="233"/>
      <c r="R48" s="85"/>
      <c r="S48" s="86">
        <f t="shared" si="2"/>
        <v>0</v>
      </c>
      <c r="T48" s="224"/>
      <c r="U48" s="282"/>
      <c r="V48" s="186"/>
    </row>
    <row r="49" spans="1:22" s="245" customFormat="1" ht="38.25" customHeight="1">
      <c r="A49" s="240" t="s">
        <v>108</v>
      </c>
      <c r="B49" s="314" t="s">
        <v>180</v>
      </c>
      <c r="C49" s="195" t="s">
        <v>36</v>
      </c>
      <c r="D49" s="273" t="s">
        <v>156</v>
      </c>
      <c r="E49" s="307">
        <f t="shared" si="15"/>
        <v>567.40492170022378</v>
      </c>
      <c r="F49" s="310">
        <f>SUM(F50:F51)</f>
        <v>3.5759999999999996</v>
      </c>
      <c r="G49" s="311">
        <f>SUM(G50:G54)</f>
        <v>2029.04</v>
      </c>
      <c r="H49" s="365">
        <f>SUM(H50:H51)</f>
        <v>3.5759999999999996</v>
      </c>
      <c r="I49" s="311">
        <f t="shared" ref="I49" si="19">SUM(I50:I54)</f>
        <v>2029.04</v>
      </c>
      <c r="J49" s="307">
        <f t="shared" ref="J49:J54" si="20">L49/K49</f>
        <v>566.94936008575701</v>
      </c>
      <c r="K49" s="310">
        <f>SUM(K50:K51)</f>
        <v>3.5759999999999996</v>
      </c>
      <c r="L49" s="311">
        <f>SUM(L50:L54)</f>
        <v>2027.4109116666668</v>
      </c>
      <c r="M49" s="310">
        <f>SUM(M50:M51)</f>
        <v>3.5759999999999996</v>
      </c>
      <c r="N49" s="311">
        <f>SUM(N50:N54)</f>
        <v>2027.4109116666668</v>
      </c>
      <c r="O49" s="273" t="s">
        <v>156</v>
      </c>
      <c r="P49" s="445" t="s">
        <v>408</v>
      </c>
      <c r="Q49" s="231">
        <f t="shared" ref="Q49:R54" si="21">H49-K49</f>
        <v>0</v>
      </c>
      <c r="R49" s="86">
        <f t="shared" si="21"/>
        <v>1.6290883333331294</v>
      </c>
      <c r="S49" s="86">
        <f t="shared" si="2"/>
        <v>-1.6290883333331294</v>
      </c>
      <c r="T49" s="223">
        <f t="shared" ref="T49:T54" si="22">(J49-E49)/E49</f>
        <v>-8.0288625819756277E-4</v>
      </c>
      <c r="U49" s="373" t="s">
        <v>388</v>
      </c>
      <c r="V49" s="188"/>
    </row>
    <row r="50" spans="1:22" s="59" customFormat="1" ht="15.75">
      <c r="A50" s="167"/>
      <c r="B50" s="283" t="s">
        <v>151</v>
      </c>
      <c r="C50" s="205" t="s">
        <v>36</v>
      </c>
      <c r="D50" s="214" t="s">
        <v>156</v>
      </c>
      <c r="E50" s="177">
        <f t="shared" si="15"/>
        <v>511.31960090119094</v>
      </c>
      <c r="F50" s="258">
        <v>3.1069999999999998</v>
      </c>
      <c r="G50" s="264">
        <v>1588.67</v>
      </c>
      <c r="H50" s="258">
        <v>3.1069999999999998</v>
      </c>
      <c r="I50" s="264">
        <v>1588.67</v>
      </c>
      <c r="J50" s="387">
        <f t="shared" si="20"/>
        <v>396.35506919858392</v>
      </c>
      <c r="K50" s="396">
        <v>3.1069999999999998</v>
      </c>
      <c r="L50" s="394">
        <f>816.91393+414.56127</f>
        <v>1231.4752000000001</v>
      </c>
      <c r="M50" s="396">
        <v>3.1069999999999998</v>
      </c>
      <c r="N50" s="394">
        <f>816.91393+414.56127</f>
        <v>1231.4752000000001</v>
      </c>
      <c r="O50" s="214" t="s">
        <v>156</v>
      </c>
      <c r="P50" s="446"/>
      <c r="Q50" s="233">
        <f t="shared" si="21"/>
        <v>0</v>
      </c>
      <c r="R50" s="85">
        <f t="shared" si="21"/>
        <v>357.19479999999999</v>
      </c>
      <c r="S50" s="86">
        <f t="shared" si="2"/>
        <v>-357.19479999999999</v>
      </c>
      <c r="T50" s="224">
        <f t="shared" si="22"/>
        <v>-0.22483889039259253</v>
      </c>
      <c r="U50" s="282"/>
      <c r="V50" s="186"/>
    </row>
    <row r="51" spans="1:22" s="59" customFormat="1" ht="15.75">
      <c r="A51" s="167"/>
      <c r="B51" s="283" t="s">
        <v>152</v>
      </c>
      <c r="C51" s="205" t="s">
        <v>36</v>
      </c>
      <c r="D51" s="214" t="s">
        <v>156</v>
      </c>
      <c r="E51" s="177">
        <f t="shared" si="15"/>
        <v>565.82089552238813</v>
      </c>
      <c r="F51" s="258">
        <v>0.46899999999999997</v>
      </c>
      <c r="G51" s="264">
        <v>265.37</v>
      </c>
      <c r="H51" s="258">
        <v>0.46899999999999997</v>
      </c>
      <c r="I51" s="264">
        <v>265.37</v>
      </c>
      <c r="J51" s="387">
        <f t="shared" si="20"/>
        <v>925.22466950959495</v>
      </c>
      <c r="K51" s="396">
        <v>0.46899999999999997</v>
      </c>
      <c r="L51" s="394">
        <v>433.93036999999998</v>
      </c>
      <c r="M51" s="396">
        <v>0.46899999999999997</v>
      </c>
      <c r="N51" s="394">
        <v>433.93036999999998</v>
      </c>
      <c r="O51" s="214" t="s">
        <v>156</v>
      </c>
      <c r="P51" s="446"/>
      <c r="Q51" s="233">
        <f t="shared" si="21"/>
        <v>0</v>
      </c>
      <c r="R51" s="85">
        <f t="shared" si="21"/>
        <v>-168.56036999999998</v>
      </c>
      <c r="S51" s="86">
        <f t="shared" si="2"/>
        <v>168.56036999999998</v>
      </c>
      <c r="T51" s="224">
        <f t="shared" si="22"/>
        <v>0.63518999886950289</v>
      </c>
      <c r="U51" s="282"/>
      <c r="V51" s="186"/>
    </row>
    <row r="52" spans="1:22" s="59" customFormat="1" ht="15.75">
      <c r="A52" s="167"/>
      <c r="B52" s="283" t="s">
        <v>181</v>
      </c>
      <c r="C52" s="205" t="s">
        <v>37</v>
      </c>
      <c r="D52" s="214" t="s">
        <v>156</v>
      </c>
      <c r="E52" s="177">
        <f t="shared" si="15"/>
        <v>55</v>
      </c>
      <c r="F52" s="260">
        <v>1</v>
      </c>
      <c r="G52" s="264">
        <v>55</v>
      </c>
      <c r="H52" s="260">
        <v>1</v>
      </c>
      <c r="I52" s="264">
        <v>55</v>
      </c>
      <c r="J52" s="387">
        <f t="shared" si="20"/>
        <v>180.5883</v>
      </c>
      <c r="K52" s="393">
        <v>1</v>
      </c>
      <c r="L52" s="394">
        <f>216.70596/1.2</f>
        <v>180.5883</v>
      </c>
      <c r="M52" s="393">
        <v>1</v>
      </c>
      <c r="N52" s="394">
        <f>216.70596/1.2</f>
        <v>180.5883</v>
      </c>
      <c r="O52" s="214" t="s">
        <v>156</v>
      </c>
      <c r="P52" s="446"/>
      <c r="Q52" s="88">
        <f t="shared" si="21"/>
        <v>0</v>
      </c>
      <c r="R52" s="85">
        <f t="shared" si="21"/>
        <v>-125.5883</v>
      </c>
      <c r="S52" s="86">
        <f t="shared" si="2"/>
        <v>125.5883</v>
      </c>
      <c r="T52" s="224">
        <f t="shared" si="22"/>
        <v>2.2834236363636364</v>
      </c>
      <c r="U52" s="282"/>
      <c r="V52" s="186"/>
    </row>
    <row r="53" spans="1:22" s="59" customFormat="1" ht="15.75">
      <c r="A53" s="167"/>
      <c r="B53" s="283" t="s">
        <v>182</v>
      </c>
      <c r="C53" s="205" t="s">
        <v>37</v>
      </c>
      <c r="D53" s="214" t="s">
        <v>156</v>
      </c>
      <c r="E53" s="177">
        <f t="shared" si="15"/>
        <v>65</v>
      </c>
      <c r="F53" s="260">
        <v>1</v>
      </c>
      <c r="G53" s="264">
        <v>65</v>
      </c>
      <c r="H53" s="260">
        <v>1</v>
      </c>
      <c r="I53" s="264">
        <v>65</v>
      </c>
      <c r="J53" s="387">
        <f t="shared" si="20"/>
        <v>133.33310833333334</v>
      </c>
      <c r="K53" s="393">
        <v>1</v>
      </c>
      <c r="L53" s="394">
        <f>159.99973/1.2</f>
        <v>133.33310833333334</v>
      </c>
      <c r="M53" s="393">
        <v>1</v>
      </c>
      <c r="N53" s="394">
        <f>159.99973/1.2</f>
        <v>133.33310833333334</v>
      </c>
      <c r="O53" s="214" t="s">
        <v>156</v>
      </c>
      <c r="P53" s="446"/>
      <c r="Q53" s="88">
        <f t="shared" si="21"/>
        <v>0</v>
      </c>
      <c r="R53" s="85">
        <f t="shared" si="21"/>
        <v>-68.333108333333342</v>
      </c>
      <c r="S53" s="86">
        <f t="shared" si="2"/>
        <v>68.333108333333342</v>
      </c>
      <c r="T53" s="224">
        <f t="shared" si="22"/>
        <v>1.0512785897435899</v>
      </c>
      <c r="U53" s="282"/>
      <c r="V53" s="186"/>
    </row>
    <row r="54" spans="1:22" s="59" customFormat="1" ht="31.5">
      <c r="A54" s="167"/>
      <c r="B54" s="283" t="s">
        <v>183</v>
      </c>
      <c r="C54" s="205" t="s">
        <v>37</v>
      </c>
      <c r="D54" s="214" t="s">
        <v>156</v>
      </c>
      <c r="E54" s="177">
        <f t="shared" si="15"/>
        <v>55</v>
      </c>
      <c r="F54" s="260">
        <v>1</v>
      </c>
      <c r="G54" s="264">
        <v>55</v>
      </c>
      <c r="H54" s="260">
        <v>1</v>
      </c>
      <c r="I54" s="264">
        <v>55</v>
      </c>
      <c r="J54" s="387">
        <f t="shared" si="20"/>
        <v>48.083933333333334</v>
      </c>
      <c r="K54" s="393">
        <v>1</v>
      </c>
      <c r="L54" s="394">
        <f>57.70072/1.2</f>
        <v>48.083933333333334</v>
      </c>
      <c r="M54" s="393">
        <v>1</v>
      </c>
      <c r="N54" s="394">
        <f>57.70072/1.2</f>
        <v>48.083933333333334</v>
      </c>
      <c r="O54" s="214" t="s">
        <v>156</v>
      </c>
      <c r="P54" s="447"/>
      <c r="Q54" s="88">
        <f t="shared" si="21"/>
        <v>0</v>
      </c>
      <c r="R54" s="85">
        <f t="shared" si="21"/>
        <v>6.9160666666666657</v>
      </c>
      <c r="S54" s="86">
        <f t="shared" si="2"/>
        <v>-6.9160666666666657</v>
      </c>
      <c r="T54" s="224">
        <f t="shared" si="22"/>
        <v>-0.12574666666666665</v>
      </c>
      <c r="U54" s="282"/>
      <c r="V54" s="186"/>
    </row>
    <row r="55" spans="1:22" s="59" customFormat="1" ht="15.75">
      <c r="A55" s="167"/>
      <c r="B55" s="302" t="s">
        <v>107</v>
      </c>
      <c r="C55" s="293"/>
      <c r="D55" s="293"/>
      <c r="E55" s="177"/>
      <c r="F55" s="261"/>
      <c r="G55" s="298"/>
      <c r="H55" s="256"/>
      <c r="I55" s="254"/>
      <c r="J55" s="175"/>
      <c r="K55" s="176"/>
      <c r="L55" s="173"/>
      <c r="M55" s="176"/>
      <c r="N55" s="173"/>
      <c r="O55" s="293"/>
      <c r="P55" s="281"/>
      <c r="Q55" s="233"/>
      <c r="R55" s="85"/>
      <c r="S55" s="86">
        <f t="shared" si="2"/>
        <v>0</v>
      </c>
      <c r="T55" s="224"/>
      <c r="U55" s="282"/>
      <c r="V55" s="186"/>
    </row>
    <row r="56" spans="1:22" s="245" customFormat="1" ht="38.25" customHeight="1">
      <c r="A56" s="240" t="s">
        <v>109</v>
      </c>
      <c r="B56" s="314" t="s">
        <v>184</v>
      </c>
      <c r="C56" s="195" t="s">
        <v>36</v>
      </c>
      <c r="D56" s="273" t="s">
        <v>72</v>
      </c>
      <c r="E56" s="307">
        <f t="shared" ref="E56:E61" si="23">G56/F56</f>
        <v>641.12074303405575</v>
      </c>
      <c r="F56" s="315">
        <f>SUM(F57:F58)</f>
        <v>4.8449999999999998</v>
      </c>
      <c r="G56" s="278">
        <f>SUM(G57:G61)</f>
        <v>3106.23</v>
      </c>
      <c r="H56" s="315">
        <f>SUM(H57:H58)</f>
        <v>4.8449999999999998</v>
      </c>
      <c r="I56" s="278">
        <f>SUM(I57:I61)</f>
        <v>3106.23</v>
      </c>
      <c r="J56" s="242">
        <f t="shared" ref="J56:J61" si="24">L56/K56</f>
        <v>640.55933952528392</v>
      </c>
      <c r="K56" s="243">
        <f>K57+K58</f>
        <v>4.8449999999999998</v>
      </c>
      <c r="L56" s="174">
        <f>L57+L58+L59+L60+L61</f>
        <v>3103.51</v>
      </c>
      <c r="M56" s="243">
        <f>M57+M58</f>
        <v>4.8449999999999998</v>
      </c>
      <c r="N56" s="174">
        <f>N57+N58+N59+N60+N61</f>
        <v>3103.51</v>
      </c>
      <c r="O56" s="273" t="s">
        <v>72</v>
      </c>
      <c r="P56" s="445" t="s">
        <v>382</v>
      </c>
      <c r="Q56" s="231">
        <f t="shared" ref="Q56:R61" si="25">H56-K56</f>
        <v>0</v>
      </c>
      <c r="R56" s="86">
        <f t="shared" si="25"/>
        <v>2.7199999999997999</v>
      </c>
      <c r="S56" s="86">
        <f t="shared" si="2"/>
        <v>-2.7199999999997999</v>
      </c>
      <c r="T56" s="223">
        <f t="shared" ref="T56:T61" si="26">(J56-E56)/E56</f>
        <v>-8.7565956159058619E-4</v>
      </c>
      <c r="U56" s="373" t="s">
        <v>388</v>
      </c>
      <c r="V56" s="188"/>
    </row>
    <row r="57" spans="1:22" s="59" customFormat="1" ht="15.75">
      <c r="A57" s="167"/>
      <c r="B57" s="283" t="s">
        <v>151</v>
      </c>
      <c r="C57" s="205" t="s">
        <v>36</v>
      </c>
      <c r="D57" s="214" t="s">
        <v>72</v>
      </c>
      <c r="E57" s="177">
        <f t="shared" si="23"/>
        <v>590.66876971608838</v>
      </c>
      <c r="F57" s="255">
        <v>4.7549999999999999</v>
      </c>
      <c r="G57" s="254">
        <v>2808.63</v>
      </c>
      <c r="H57" s="255">
        <f t="shared" ref="H57:H61" si="27">F57</f>
        <v>4.7549999999999999</v>
      </c>
      <c r="I57" s="254">
        <f t="shared" ref="I57:I61" si="28">G57</f>
        <v>2808.63</v>
      </c>
      <c r="J57" s="411">
        <f t="shared" si="24"/>
        <v>525.13091482649838</v>
      </c>
      <c r="K57" s="391">
        <v>4.7549999999999999</v>
      </c>
      <c r="L57" s="418">
        <f>(2176.2132+820.1838)/1.2</f>
        <v>2496.9974999999999</v>
      </c>
      <c r="M57" s="391">
        <v>4.7549999999999999</v>
      </c>
      <c r="N57" s="418">
        <f>(2176.2132+820.1838)/1.2</f>
        <v>2496.9974999999999</v>
      </c>
      <c r="O57" s="214" t="s">
        <v>72</v>
      </c>
      <c r="P57" s="446"/>
      <c r="Q57" s="233">
        <f t="shared" si="25"/>
        <v>0</v>
      </c>
      <c r="R57" s="85">
        <f t="shared" si="25"/>
        <v>311.63250000000016</v>
      </c>
      <c r="S57" s="86">
        <f t="shared" si="2"/>
        <v>-311.63250000000016</v>
      </c>
      <c r="T57" s="224">
        <f t="shared" si="26"/>
        <v>-0.11095534121618027</v>
      </c>
      <c r="U57" s="282"/>
      <c r="V57" s="186"/>
    </row>
    <row r="58" spans="1:22" s="59" customFormat="1" ht="15.75">
      <c r="A58" s="167"/>
      <c r="B58" s="283" t="s">
        <v>152</v>
      </c>
      <c r="C58" s="205" t="s">
        <v>36</v>
      </c>
      <c r="D58" s="214" t="s">
        <v>72</v>
      </c>
      <c r="E58" s="177">
        <f t="shared" si="23"/>
        <v>640</v>
      </c>
      <c r="F58" s="255">
        <v>0.09</v>
      </c>
      <c r="G58" s="254">
        <v>57.6</v>
      </c>
      <c r="H58" s="255">
        <f t="shared" si="27"/>
        <v>0.09</v>
      </c>
      <c r="I58" s="254">
        <f t="shared" si="28"/>
        <v>57.6</v>
      </c>
      <c r="J58" s="411">
        <f t="shared" si="24"/>
        <v>2190.5</v>
      </c>
      <c r="K58" s="403">
        <v>0.09</v>
      </c>
      <c r="L58" s="419">
        <f>144.925+52.22</f>
        <v>197.14500000000001</v>
      </c>
      <c r="M58" s="403">
        <v>0.09</v>
      </c>
      <c r="N58" s="419">
        <f>144.925+52.22</f>
        <v>197.14500000000001</v>
      </c>
      <c r="O58" s="214" t="s">
        <v>72</v>
      </c>
      <c r="P58" s="446"/>
      <c r="Q58" s="233">
        <f t="shared" si="25"/>
        <v>0</v>
      </c>
      <c r="R58" s="85">
        <f t="shared" si="25"/>
        <v>-139.54500000000002</v>
      </c>
      <c r="S58" s="86">
        <f t="shared" si="2"/>
        <v>139.54500000000002</v>
      </c>
      <c r="T58" s="224">
        <f t="shared" si="26"/>
        <v>2.4226562500000002</v>
      </c>
      <c r="U58" s="282"/>
      <c r="V58" s="186"/>
    </row>
    <row r="59" spans="1:22" s="59" customFormat="1" ht="15.75">
      <c r="A59" s="167"/>
      <c r="B59" s="283" t="s">
        <v>185</v>
      </c>
      <c r="C59" s="205" t="s">
        <v>37</v>
      </c>
      <c r="D59" s="214" t="s">
        <v>72</v>
      </c>
      <c r="E59" s="177">
        <f t="shared" si="23"/>
        <v>80</v>
      </c>
      <c r="F59" s="256">
        <v>1</v>
      </c>
      <c r="G59" s="254">
        <v>80</v>
      </c>
      <c r="H59" s="256">
        <f t="shared" si="27"/>
        <v>1</v>
      </c>
      <c r="I59" s="254">
        <f t="shared" si="28"/>
        <v>80</v>
      </c>
      <c r="J59" s="411">
        <f t="shared" si="24"/>
        <v>137.98250000000002</v>
      </c>
      <c r="K59" s="404">
        <v>1</v>
      </c>
      <c r="L59" s="406">
        <f>165.579/1.2</f>
        <v>137.98250000000002</v>
      </c>
      <c r="M59" s="404">
        <v>1</v>
      </c>
      <c r="N59" s="406">
        <f>165.579/1.2</f>
        <v>137.98250000000002</v>
      </c>
      <c r="O59" s="214" t="s">
        <v>72</v>
      </c>
      <c r="P59" s="446"/>
      <c r="Q59" s="88">
        <f t="shared" si="25"/>
        <v>0</v>
      </c>
      <c r="R59" s="85">
        <f t="shared" si="25"/>
        <v>-57.982500000000016</v>
      </c>
      <c r="S59" s="86">
        <f t="shared" si="2"/>
        <v>57.982500000000016</v>
      </c>
      <c r="T59" s="224">
        <f t="shared" si="26"/>
        <v>0.72478125000000015</v>
      </c>
      <c r="U59" s="282"/>
      <c r="V59" s="186"/>
    </row>
    <row r="60" spans="1:22" s="59" customFormat="1" ht="15.75">
      <c r="A60" s="167"/>
      <c r="B60" s="283" t="s">
        <v>186</v>
      </c>
      <c r="C60" s="205" t="s">
        <v>37</v>
      </c>
      <c r="D60" s="214" t="s">
        <v>72</v>
      </c>
      <c r="E60" s="177">
        <f t="shared" si="23"/>
        <v>80</v>
      </c>
      <c r="F60" s="256">
        <v>1</v>
      </c>
      <c r="G60" s="254">
        <v>80</v>
      </c>
      <c r="H60" s="256">
        <f t="shared" si="27"/>
        <v>1</v>
      </c>
      <c r="I60" s="254">
        <f t="shared" si="28"/>
        <v>80</v>
      </c>
      <c r="J60" s="411">
        <f t="shared" si="24"/>
        <v>136.815</v>
      </c>
      <c r="K60" s="395">
        <v>1</v>
      </c>
      <c r="L60" s="419">
        <f>164.178/1.2</f>
        <v>136.815</v>
      </c>
      <c r="M60" s="395">
        <v>1</v>
      </c>
      <c r="N60" s="419">
        <f>164.178/1.2</f>
        <v>136.815</v>
      </c>
      <c r="O60" s="214" t="s">
        <v>72</v>
      </c>
      <c r="P60" s="446"/>
      <c r="Q60" s="88">
        <f t="shared" si="25"/>
        <v>0</v>
      </c>
      <c r="R60" s="85">
        <f t="shared" si="25"/>
        <v>-56.814999999999998</v>
      </c>
      <c r="S60" s="86">
        <f t="shared" si="2"/>
        <v>56.814999999999998</v>
      </c>
      <c r="T60" s="224">
        <f t="shared" si="26"/>
        <v>0.71018749999999997</v>
      </c>
      <c r="U60" s="282"/>
      <c r="V60" s="186"/>
    </row>
    <row r="61" spans="1:22" s="59" customFormat="1" ht="31.5">
      <c r="A61" s="167"/>
      <c r="B61" s="283" t="s">
        <v>187</v>
      </c>
      <c r="C61" s="205" t="s">
        <v>37</v>
      </c>
      <c r="D61" s="214" t="s">
        <v>72</v>
      </c>
      <c r="E61" s="177">
        <f t="shared" si="23"/>
        <v>80</v>
      </c>
      <c r="F61" s="256">
        <v>1</v>
      </c>
      <c r="G61" s="254">
        <v>80</v>
      </c>
      <c r="H61" s="256">
        <f t="shared" si="27"/>
        <v>1</v>
      </c>
      <c r="I61" s="254">
        <f t="shared" si="28"/>
        <v>80</v>
      </c>
      <c r="J61" s="411">
        <f t="shared" si="24"/>
        <v>134.57000000000002</v>
      </c>
      <c r="K61" s="395">
        <v>1</v>
      </c>
      <c r="L61" s="419">
        <f>161.484/1.2</f>
        <v>134.57000000000002</v>
      </c>
      <c r="M61" s="395">
        <v>1</v>
      </c>
      <c r="N61" s="419">
        <f>161.484/1.2</f>
        <v>134.57000000000002</v>
      </c>
      <c r="O61" s="214" t="s">
        <v>72</v>
      </c>
      <c r="P61" s="447"/>
      <c r="Q61" s="88">
        <f t="shared" si="25"/>
        <v>0</v>
      </c>
      <c r="R61" s="85">
        <f t="shared" si="25"/>
        <v>-54.570000000000022</v>
      </c>
      <c r="S61" s="86">
        <f t="shared" si="2"/>
        <v>54.570000000000022</v>
      </c>
      <c r="T61" s="224">
        <f t="shared" si="26"/>
        <v>0.68212500000000031</v>
      </c>
      <c r="U61" s="282"/>
      <c r="V61" s="186"/>
    </row>
    <row r="62" spans="1:22" s="245" customFormat="1" ht="15.75">
      <c r="A62" s="240"/>
      <c r="B62" s="302" t="s">
        <v>87</v>
      </c>
      <c r="C62" s="293"/>
      <c r="D62" s="293"/>
      <c r="E62" s="177"/>
      <c r="F62" s="261"/>
      <c r="G62" s="296"/>
      <c r="H62" s="315"/>
      <c r="I62" s="278"/>
      <c r="J62" s="242"/>
      <c r="K62" s="243"/>
      <c r="L62" s="174"/>
      <c r="M62" s="243"/>
      <c r="N62" s="174"/>
      <c r="O62" s="281"/>
      <c r="P62" s="281"/>
      <c r="Q62" s="233"/>
      <c r="R62" s="85"/>
      <c r="S62" s="86">
        <f t="shared" si="2"/>
        <v>0</v>
      </c>
      <c r="T62" s="224"/>
      <c r="U62" s="282"/>
      <c r="V62" s="188"/>
    </row>
    <row r="63" spans="1:22" s="245" customFormat="1" ht="38.25">
      <c r="A63" s="240" t="s">
        <v>110</v>
      </c>
      <c r="B63" s="314" t="s">
        <v>188</v>
      </c>
      <c r="C63" s="195" t="s">
        <v>36</v>
      </c>
      <c r="D63" s="273" t="s">
        <v>156</v>
      </c>
      <c r="E63" s="307">
        <f t="shared" si="15"/>
        <v>880.55555555555554</v>
      </c>
      <c r="F63" s="315">
        <f>SUM(F64:F65)</f>
        <v>3.24</v>
      </c>
      <c r="G63" s="316">
        <f>SUM(G64:G65)</f>
        <v>2853</v>
      </c>
      <c r="H63" s="368">
        <f t="shared" ref="H63:I63" si="29">SUM(H64:H65)</f>
        <v>3.24</v>
      </c>
      <c r="I63" s="316">
        <f t="shared" si="29"/>
        <v>2853</v>
      </c>
      <c r="J63" s="307">
        <f t="shared" ref="J63:J64" si="30">L63/K63</f>
        <v>858.42272727272723</v>
      </c>
      <c r="K63" s="315">
        <f>SUM(K64:K65)</f>
        <v>1.1000000000000001</v>
      </c>
      <c r="L63" s="316">
        <f>SUM(L64:L65)</f>
        <v>944.26499999999999</v>
      </c>
      <c r="M63" s="315">
        <f>SUM(M64:M65)</f>
        <v>1.1000000000000001</v>
      </c>
      <c r="N63" s="316">
        <f>SUM(N64:N65)</f>
        <v>944.26499999999999</v>
      </c>
      <c r="O63" s="273" t="s">
        <v>156</v>
      </c>
      <c r="P63" s="445"/>
      <c r="Q63" s="231">
        <f t="shared" ref="Q63:R65" si="31">H63-K63</f>
        <v>2.14</v>
      </c>
      <c r="R63" s="86">
        <f t="shared" si="31"/>
        <v>1908.7350000000001</v>
      </c>
      <c r="S63" s="86">
        <f t="shared" si="2"/>
        <v>-1908.7350000000001</v>
      </c>
      <c r="T63" s="223">
        <f>(J63-E63)/E63</f>
        <v>-2.5135073128764014E-2</v>
      </c>
      <c r="U63" s="373" t="s">
        <v>388</v>
      </c>
      <c r="V63" s="188"/>
    </row>
    <row r="64" spans="1:22" s="59" customFormat="1" ht="15.75">
      <c r="A64" s="167"/>
      <c r="B64" s="283" t="s">
        <v>151</v>
      </c>
      <c r="C64" s="205" t="s">
        <v>36</v>
      </c>
      <c r="D64" s="214" t="s">
        <v>156</v>
      </c>
      <c r="E64" s="177">
        <f t="shared" si="15"/>
        <v>890.76433121019102</v>
      </c>
      <c r="F64" s="255">
        <v>3.14</v>
      </c>
      <c r="G64" s="262">
        <v>2797</v>
      </c>
      <c r="H64" s="255">
        <v>3.14</v>
      </c>
      <c r="I64" s="254">
        <v>2797</v>
      </c>
      <c r="J64" s="387">
        <f t="shared" si="30"/>
        <v>858.42272727272723</v>
      </c>
      <c r="K64" s="405">
        <v>1.1000000000000001</v>
      </c>
      <c r="L64" s="406">
        <f>1133.118/1.2</f>
        <v>944.26499999999999</v>
      </c>
      <c r="M64" s="405">
        <v>1.1000000000000001</v>
      </c>
      <c r="N64" s="406">
        <f>1133.118/1.2</f>
        <v>944.26499999999999</v>
      </c>
      <c r="O64" s="214" t="s">
        <v>156</v>
      </c>
      <c r="P64" s="446"/>
      <c r="Q64" s="233">
        <f t="shared" si="31"/>
        <v>2.04</v>
      </c>
      <c r="R64" s="85">
        <f t="shared" si="31"/>
        <v>1852.7350000000001</v>
      </c>
      <c r="S64" s="86">
        <f t="shared" si="2"/>
        <v>-1852.7350000000001</v>
      </c>
      <c r="T64" s="224">
        <f>(J64-E64)/E64</f>
        <v>-3.6307699808236074E-2</v>
      </c>
      <c r="U64" s="282"/>
      <c r="V64" s="186"/>
    </row>
    <row r="65" spans="1:22" s="59" customFormat="1" ht="15.75">
      <c r="A65" s="167"/>
      <c r="B65" s="283" t="s">
        <v>189</v>
      </c>
      <c r="C65" s="205" t="s">
        <v>36</v>
      </c>
      <c r="D65" s="214" t="s">
        <v>156</v>
      </c>
      <c r="E65" s="177">
        <f t="shared" si="15"/>
        <v>560</v>
      </c>
      <c r="F65" s="255">
        <v>0.1</v>
      </c>
      <c r="G65" s="262">
        <v>56</v>
      </c>
      <c r="H65" s="255">
        <v>0.1</v>
      </c>
      <c r="I65" s="254">
        <v>56</v>
      </c>
      <c r="J65" s="387"/>
      <c r="K65" s="405"/>
      <c r="L65" s="262"/>
      <c r="M65" s="257"/>
      <c r="N65" s="257"/>
      <c r="O65" s="214" t="s">
        <v>156</v>
      </c>
      <c r="P65" s="447"/>
      <c r="Q65" s="233">
        <f t="shared" si="31"/>
        <v>0.1</v>
      </c>
      <c r="R65" s="85">
        <f t="shared" si="31"/>
        <v>56</v>
      </c>
      <c r="S65" s="86">
        <f t="shared" si="2"/>
        <v>-56</v>
      </c>
      <c r="T65" s="224">
        <f>(J65-E65)/E65</f>
        <v>-1</v>
      </c>
      <c r="U65" s="282"/>
      <c r="V65" s="186"/>
    </row>
    <row r="66" spans="1:22" s="245" customFormat="1" ht="15.75">
      <c r="A66" s="240"/>
      <c r="B66" s="302" t="s">
        <v>132</v>
      </c>
      <c r="C66" s="293"/>
      <c r="D66" s="293"/>
      <c r="E66" s="177"/>
      <c r="F66" s="261"/>
      <c r="G66" s="296"/>
      <c r="H66" s="243"/>
      <c r="I66" s="278"/>
      <c r="J66" s="242"/>
      <c r="K66" s="243"/>
      <c r="L66" s="174"/>
      <c r="M66" s="243"/>
      <c r="N66" s="265"/>
      <c r="O66" s="293"/>
      <c r="P66" s="281"/>
      <c r="Q66" s="233"/>
      <c r="R66" s="85"/>
      <c r="S66" s="86">
        <f t="shared" si="2"/>
        <v>0</v>
      </c>
      <c r="T66" s="224"/>
      <c r="U66" s="282"/>
      <c r="V66" s="188"/>
    </row>
    <row r="67" spans="1:22" s="245" customFormat="1" ht="47.25" customHeight="1">
      <c r="A67" s="240" t="s">
        <v>111</v>
      </c>
      <c r="B67" s="317" t="s">
        <v>190</v>
      </c>
      <c r="C67" s="195" t="s">
        <v>36</v>
      </c>
      <c r="D67" s="273" t="s">
        <v>156</v>
      </c>
      <c r="E67" s="307">
        <f t="shared" ref="E67:E72" si="32">G67/F67</f>
        <v>648.02924634420685</v>
      </c>
      <c r="F67" s="315">
        <f>F68</f>
        <v>4.4450000000000003</v>
      </c>
      <c r="G67" s="322">
        <f>SUM(G68:G69)</f>
        <v>2880.49</v>
      </c>
      <c r="H67" s="369">
        <f t="shared" ref="H67:I67" si="33">SUM(H68:H69)</f>
        <v>4.4450000000000003</v>
      </c>
      <c r="I67" s="322">
        <f t="shared" si="33"/>
        <v>2880.49</v>
      </c>
      <c r="J67" s="242">
        <f>L67/K67</f>
        <v>646.90524371953518</v>
      </c>
      <c r="K67" s="315">
        <f>K68</f>
        <v>4.4450000000000003</v>
      </c>
      <c r="L67" s="322">
        <f>SUM(L68:L69)</f>
        <v>2875.4938083333341</v>
      </c>
      <c r="M67" s="315">
        <f>M68</f>
        <v>4.4450000000000003</v>
      </c>
      <c r="N67" s="322">
        <f>SUM(N68:N69)</f>
        <v>2875.4938083333341</v>
      </c>
      <c r="O67" s="273" t="s">
        <v>156</v>
      </c>
      <c r="P67" s="445" t="s">
        <v>383</v>
      </c>
      <c r="Q67" s="231">
        <f t="shared" ref="Q67:R72" si="34">H67-K67</f>
        <v>0</v>
      </c>
      <c r="R67" s="86">
        <f t="shared" si="34"/>
        <v>4.9961916666657089</v>
      </c>
      <c r="S67" s="86">
        <f t="shared" si="2"/>
        <v>-4.9961916666657089</v>
      </c>
      <c r="T67" s="223">
        <f t="shared" ref="T67:T72" si="35">(J67-E67)/E67</f>
        <v>-1.7344936683222638E-3</v>
      </c>
      <c r="U67" s="373" t="s">
        <v>388</v>
      </c>
      <c r="V67" s="188"/>
    </row>
    <row r="68" spans="1:22" s="59" customFormat="1" ht="15.75">
      <c r="A68" s="167"/>
      <c r="B68" s="283" t="s">
        <v>151</v>
      </c>
      <c r="C68" s="205" t="s">
        <v>36</v>
      </c>
      <c r="D68" s="214" t="s">
        <v>156</v>
      </c>
      <c r="E68" s="177">
        <f t="shared" si="32"/>
        <v>630.03149606299201</v>
      </c>
      <c r="F68" s="270">
        <v>4.4450000000000003</v>
      </c>
      <c r="G68" s="284">
        <v>2800.49</v>
      </c>
      <c r="H68" s="164">
        <v>4.4450000000000003</v>
      </c>
      <c r="I68" s="254">
        <v>2800.49</v>
      </c>
      <c r="J68" s="411">
        <f>L68/K68</f>
        <v>630.72833145856782</v>
      </c>
      <c r="K68" s="388">
        <v>4.4450000000000003</v>
      </c>
      <c r="L68" s="399">
        <f>(1235.6737+2128.63122)/1.2</f>
        <v>2803.587433333334</v>
      </c>
      <c r="M68" s="388">
        <v>4.4450000000000003</v>
      </c>
      <c r="N68" s="389">
        <f>(1235.6737+2128.63122)/1.2</f>
        <v>2803.587433333334</v>
      </c>
      <c r="O68" s="214" t="s">
        <v>156</v>
      </c>
      <c r="P68" s="446"/>
      <c r="Q68" s="233">
        <f t="shared" si="34"/>
        <v>0</v>
      </c>
      <c r="R68" s="85">
        <f t="shared" si="34"/>
        <v>-3.0974333333342656</v>
      </c>
      <c r="S68" s="86">
        <f t="shared" si="2"/>
        <v>3.0974333333342656</v>
      </c>
      <c r="T68" s="224">
        <f t="shared" si="35"/>
        <v>1.1060326347655267E-3</v>
      </c>
      <c r="U68" s="282"/>
      <c r="V68" s="186"/>
    </row>
    <row r="69" spans="1:22" s="59" customFormat="1" ht="15.75">
      <c r="A69" s="167"/>
      <c r="B69" s="283" t="s">
        <v>191</v>
      </c>
      <c r="C69" s="205" t="s">
        <v>37</v>
      </c>
      <c r="D69" s="214" t="s">
        <v>156</v>
      </c>
      <c r="E69" s="177">
        <f t="shared" si="32"/>
        <v>80</v>
      </c>
      <c r="F69" s="270" t="s">
        <v>155</v>
      </c>
      <c r="G69" s="284">
        <v>80</v>
      </c>
      <c r="H69" s="166" t="s">
        <v>155</v>
      </c>
      <c r="I69" s="133">
        <v>80</v>
      </c>
      <c r="J69" s="387">
        <f t="shared" ref="J69:J72" si="36">L69/K69</f>
        <v>71.906374999999997</v>
      </c>
      <c r="K69" s="388" t="s">
        <v>155</v>
      </c>
      <c r="L69" s="399">
        <f>86.28765/1.2</f>
        <v>71.906374999999997</v>
      </c>
      <c r="M69" s="388" t="s">
        <v>155</v>
      </c>
      <c r="N69" s="389">
        <f>86.28765/1.2</f>
        <v>71.906374999999997</v>
      </c>
      <c r="O69" s="214" t="s">
        <v>156</v>
      </c>
      <c r="P69" s="447"/>
      <c r="Q69" s="88">
        <f t="shared" si="34"/>
        <v>0</v>
      </c>
      <c r="R69" s="85">
        <f t="shared" si="34"/>
        <v>8.093625000000003</v>
      </c>
      <c r="S69" s="86">
        <f t="shared" si="2"/>
        <v>-8.093625000000003</v>
      </c>
      <c r="T69" s="224">
        <f t="shared" si="35"/>
        <v>-0.10117031250000004</v>
      </c>
      <c r="U69" s="282"/>
      <c r="V69" s="186"/>
    </row>
    <row r="70" spans="1:22" s="245" customFormat="1" ht="38.25" customHeight="1">
      <c r="A70" s="240" t="s">
        <v>112</v>
      </c>
      <c r="B70" s="317" t="s">
        <v>192</v>
      </c>
      <c r="C70" s="195" t="s">
        <v>36</v>
      </c>
      <c r="D70" s="273" t="s">
        <v>156</v>
      </c>
      <c r="E70" s="307">
        <f t="shared" si="32"/>
        <v>454.93902439024396</v>
      </c>
      <c r="F70" s="315">
        <f>F71</f>
        <v>3.28</v>
      </c>
      <c r="G70" s="322">
        <f>SUM(G71:G72)</f>
        <v>1492.2</v>
      </c>
      <c r="H70" s="369">
        <f t="shared" ref="H70:I70" si="37">SUM(H71:H72)</f>
        <v>3.28</v>
      </c>
      <c r="I70" s="322">
        <f t="shared" si="37"/>
        <v>1492.2</v>
      </c>
      <c r="J70" s="307">
        <f t="shared" si="36"/>
        <v>454.21357723577239</v>
      </c>
      <c r="K70" s="315">
        <f>K71</f>
        <v>3.28</v>
      </c>
      <c r="L70" s="322">
        <f>SUM(L71:L72)</f>
        <v>1489.8205333333333</v>
      </c>
      <c r="M70" s="315">
        <f>M71</f>
        <v>3.28</v>
      </c>
      <c r="N70" s="322">
        <f>SUM(N71:N72)</f>
        <v>1489.8205333333333</v>
      </c>
      <c r="O70" s="273" t="s">
        <v>156</v>
      </c>
      <c r="P70" s="445" t="s">
        <v>422</v>
      </c>
      <c r="Q70" s="231">
        <f t="shared" si="34"/>
        <v>0</v>
      </c>
      <c r="R70" s="86">
        <f t="shared" si="34"/>
        <v>2.3794666666667581</v>
      </c>
      <c r="S70" s="86">
        <f t="shared" si="2"/>
        <v>-2.3794666666667581</v>
      </c>
      <c r="T70" s="223">
        <f t="shared" si="35"/>
        <v>-1.5946030469553274E-3</v>
      </c>
      <c r="U70" s="373" t="s">
        <v>388</v>
      </c>
      <c r="V70" s="188"/>
    </row>
    <row r="71" spans="1:22" s="59" customFormat="1" ht="15.75">
      <c r="A71" s="167"/>
      <c r="B71" s="283" t="s">
        <v>151</v>
      </c>
      <c r="C71" s="283"/>
      <c r="D71" s="214" t="s">
        <v>156</v>
      </c>
      <c r="E71" s="177">
        <f t="shared" si="32"/>
        <v>430.54878048780489</v>
      </c>
      <c r="F71" s="270">
        <v>3.28</v>
      </c>
      <c r="G71" s="284">
        <v>1412.2</v>
      </c>
      <c r="H71" s="164">
        <v>3.28</v>
      </c>
      <c r="I71" s="173">
        <v>1412.2</v>
      </c>
      <c r="J71" s="387">
        <f t="shared" si="36"/>
        <v>419.51698424796751</v>
      </c>
      <c r="K71" s="388">
        <v>3.28</v>
      </c>
      <c r="L71" s="389">
        <f>(1231.735+419.48385)/1.2</f>
        <v>1376.0157083333334</v>
      </c>
      <c r="M71" s="388">
        <v>3.28</v>
      </c>
      <c r="N71" s="389">
        <f>L71</f>
        <v>1376.0157083333334</v>
      </c>
      <c r="O71" s="214" t="s">
        <v>156</v>
      </c>
      <c r="P71" s="446"/>
      <c r="Q71" s="233">
        <f t="shared" si="34"/>
        <v>0</v>
      </c>
      <c r="R71" s="85">
        <f t="shared" si="34"/>
        <v>36.184291666666695</v>
      </c>
      <c r="S71" s="86">
        <f t="shared" si="2"/>
        <v>-36.184291666666695</v>
      </c>
      <c r="T71" s="224">
        <f t="shared" si="35"/>
        <v>-2.5622639616673697E-2</v>
      </c>
      <c r="U71" s="282"/>
      <c r="V71" s="186"/>
    </row>
    <row r="72" spans="1:22" s="59" customFormat="1" ht="15.75">
      <c r="A72" s="167"/>
      <c r="B72" s="283" t="s">
        <v>193</v>
      </c>
      <c r="C72" s="205" t="s">
        <v>37</v>
      </c>
      <c r="D72" s="214" t="s">
        <v>156</v>
      </c>
      <c r="E72" s="177">
        <f t="shared" si="32"/>
        <v>80</v>
      </c>
      <c r="F72" s="286" t="s">
        <v>155</v>
      </c>
      <c r="G72" s="284">
        <v>80</v>
      </c>
      <c r="H72" s="176" t="s">
        <v>155</v>
      </c>
      <c r="I72" s="173">
        <v>80</v>
      </c>
      <c r="J72" s="387">
        <f t="shared" si="36"/>
        <v>113.80482499999999</v>
      </c>
      <c r="K72" s="398" t="s">
        <v>155</v>
      </c>
      <c r="L72" s="389">
        <f>136.56579/1.2</f>
        <v>113.80482499999999</v>
      </c>
      <c r="M72" s="398" t="s">
        <v>155</v>
      </c>
      <c r="N72" s="389">
        <f>136.56579/1.2</f>
        <v>113.80482499999999</v>
      </c>
      <c r="O72" s="214" t="s">
        <v>156</v>
      </c>
      <c r="P72" s="447"/>
      <c r="Q72" s="88">
        <f t="shared" si="34"/>
        <v>0</v>
      </c>
      <c r="R72" s="85">
        <f t="shared" si="34"/>
        <v>-33.804824999999994</v>
      </c>
      <c r="S72" s="86">
        <f t="shared" si="2"/>
        <v>33.804824999999994</v>
      </c>
      <c r="T72" s="224">
        <f t="shared" si="35"/>
        <v>0.42256031249999992</v>
      </c>
      <c r="U72" s="282"/>
      <c r="V72" s="186"/>
    </row>
    <row r="73" spans="1:22" s="59" customFormat="1" ht="15.75">
      <c r="A73" s="167"/>
      <c r="B73" s="302" t="s">
        <v>88</v>
      </c>
      <c r="C73" s="293"/>
      <c r="D73" s="293"/>
      <c r="E73" s="177"/>
      <c r="F73" s="254"/>
      <c r="G73" s="297"/>
      <c r="H73" s="176"/>
      <c r="I73" s="173"/>
      <c r="J73" s="175"/>
      <c r="K73" s="260"/>
      <c r="L73" s="259"/>
      <c r="M73" s="260"/>
      <c r="N73" s="259"/>
      <c r="O73" s="293"/>
      <c r="P73" s="281"/>
      <c r="Q73" s="233"/>
      <c r="R73" s="85"/>
      <c r="S73" s="86">
        <f t="shared" ref="S73:S136" si="38">L73-I73</f>
        <v>0</v>
      </c>
      <c r="T73" s="224"/>
      <c r="U73" s="282"/>
      <c r="V73" s="186"/>
    </row>
    <row r="74" spans="1:22" s="245" customFormat="1" ht="38.25">
      <c r="A74" s="240" t="s">
        <v>113</v>
      </c>
      <c r="B74" s="317" t="s">
        <v>194</v>
      </c>
      <c r="C74" s="195" t="s">
        <v>36</v>
      </c>
      <c r="D74" s="273" t="s">
        <v>156</v>
      </c>
      <c r="E74" s="307">
        <f>G74/F74</f>
        <v>818.01487778958563</v>
      </c>
      <c r="F74" s="315">
        <f>SUM(F75:F76)</f>
        <v>4.7050000000000001</v>
      </c>
      <c r="G74" s="322">
        <f>SUM(G75:G77)</f>
        <v>3848.76</v>
      </c>
      <c r="H74" s="369">
        <f>SUM(H75:H76)</f>
        <v>4.7050000000000001</v>
      </c>
      <c r="I74" s="322">
        <f t="shared" ref="I74" si="39">SUM(I75:I77)</f>
        <v>3848.76</v>
      </c>
      <c r="J74" s="307">
        <f>L74/K74</f>
        <v>812.75706695005317</v>
      </c>
      <c r="K74" s="315">
        <f>SUM(K75:K76)</f>
        <v>4.7050000000000001</v>
      </c>
      <c r="L74" s="322">
        <f>SUM(L75:L77)</f>
        <v>3824.0220000000004</v>
      </c>
      <c r="M74" s="315">
        <f>SUM(M75:M76)</f>
        <v>4.7050000000000001</v>
      </c>
      <c r="N74" s="322">
        <f>SUM(N75:N77)</f>
        <v>3824.0220000000004</v>
      </c>
      <c r="O74" s="273" t="s">
        <v>156</v>
      </c>
      <c r="P74" s="445"/>
      <c r="Q74" s="233">
        <f t="shared" ref="Q74:Q84" si="40">H74-K74</f>
        <v>0</v>
      </c>
      <c r="R74" s="85">
        <f t="shared" ref="R74:R84" si="41">I74-L74</f>
        <v>24.737999999999829</v>
      </c>
      <c r="S74" s="86">
        <f t="shared" si="38"/>
        <v>-24.737999999999829</v>
      </c>
      <c r="T74" s="224">
        <f t="shared" ref="T74:T84" si="42">(J74-E74)/E74</f>
        <v>-6.4275247092570572E-3</v>
      </c>
      <c r="U74" s="372" t="s">
        <v>389</v>
      </c>
      <c r="V74" s="188"/>
    </row>
    <row r="75" spans="1:22" s="59" customFormat="1" ht="15.75" customHeight="1">
      <c r="A75" s="167"/>
      <c r="B75" s="283" t="s">
        <v>151</v>
      </c>
      <c r="C75" s="205" t="s">
        <v>36</v>
      </c>
      <c r="D75" s="214" t="s">
        <v>156</v>
      </c>
      <c r="E75" s="177">
        <f>G75/F75</f>
        <v>801.38510638297873</v>
      </c>
      <c r="F75" s="270">
        <v>4.7</v>
      </c>
      <c r="G75" s="284">
        <v>3766.51</v>
      </c>
      <c r="H75" s="164">
        <v>4.7</v>
      </c>
      <c r="I75" s="166">
        <v>3766.51</v>
      </c>
      <c r="J75" s="387">
        <f>L75/K75</f>
        <v>777.29276595744682</v>
      </c>
      <c r="K75" s="388">
        <v>4.7</v>
      </c>
      <c r="L75" s="389">
        <f>(2392.3908+1991.5404)/1.2</f>
        <v>3653.2760000000003</v>
      </c>
      <c r="M75" s="388">
        <v>4.7</v>
      </c>
      <c r="N75" s="389">
        <f>(2392.3908+1991.5404)/1.2</f>
        <v>3653.2760000000003</v>
      </c>
      <c r="O75" s="214" t="s">
        <v>156</v>
      </c>
      <c r="P75" s="446"/>
      <c r="Q75" s="233">
        <f t="shared" si="40"/>
        <v>0</v>
      </c>
      <c r="R75" s="85">
        <f t="shared" si="41"/>
        <v>113.23399999999992</v>
      </c>
      <c r="S75" s="86">
        <f t="shared" si="38"/>
        <v>-113.23399999999992</v>
      </c>
      <c r="T75" s="224">
        <f t="shared" si="42"/>
        <v>-3.0063374317338864E-2</v>
      </c>
      <c r="U75" s="282"/>
      <c r="V75" s="186"/>
    </row>
    <row r="76" spans="1:22" s="59" customFormat="1" ht="15.75">
      <c r="A76" s="167"/>
      <c r="B76" s="283" t="s">
        <v>152</v>
      </c>
      <c r="C76" s="205" t="s">
        <v>36</v>
      </c>
      <c r="D76" s="214" t="s">
        <v>156</v>
      </c>
      <c r="E76" s="177">
        <f t="shared" ref="E76:E81" si="43">G76/F76</f>
        <v>450</v>
      </c>
      <c r="F76" s="287">
        <v>5.0000000000000001E-3</v>
      </c>
      <c r="G76" s="284">
        <v>2.25</v>
      </c>
      <c r="H76" s="258">
        <v>5.0000000000000001E-3</v>
      </c>
      <c r="I76" s="261">
        <v>2.25</v>
      </c>
      <c r="J76" s="387">
        <f t="shared" ref="J76:J77" si="44">L76/K76</f>
        <v>12800.6</v>
      </c>
      <c r="K76" s="400">
        <v>5.0000000000000001E-3</v>
      </c>
      <c r="L76" s="389">
        <f>76.8036/1.2</f>
        <v>64.003</v>
      </c>
      <c r="M76" s="400">
        <v>5.0000000000000001E-3</v>
      </c>
      <c r="N76" s="389">
        <f>76.8036/1.2</f>
        <v>64.003</v>
      </c>
      <c r="O76" s="214" t="s">
        <v>156</v>
      </c>
      <c r="P76" s="446"/>
      <c r="Q76" s="233">
        <f t="shared" si="40"/>
        <v>0</v>
      </c>
      <c r="R76" s="85">
        <f t="shared" si="41"/>
        <v>-61.753</v>
      </c>
      <c r="S76" s="86">
        <f t="shared" si="38"/>
        <v>61.753</v>
      </c>
      <c r="T76" s="224">
        <f t="shared" si="42"/>
        <v>27.445777777777778</v>
      </c>
      <c r="U76" s="282"/>
      <c r="V76" s="186"/>
    </row>
    <row r="77" spans="1:22" s="59" customFormat="1" ht="31.5">
      <c r="A77" s="167"/>
      <c r="B77" s="283" t="s">
        <v>195</v>
      </c>
      <c r="C77" s="205" t="s">
        <v>37</v>
      </c>
      <c r="D77" s="214" t="s">
        <v>156</v>
      </c>
      <c r="E77" s="177">
        <f t="shared" si="43"/>
        <v>80</v>
      </c>
      <c r="F77" s="287">
        <v>1</v>
      </c>
      <c r="G77" s="284">
        <v>80</v>
      </c>
      <c r="H77" s="164">
        <v>1</v>
      </c>
      <c r="I77" s="166">
        <v>80</v>
      </c>
      <c r="J77" s="387">
        <f t="shared" si="44"/>
        <v>106.74300000000001</v>
      </c>
      <c r="K77" s="400">
        <v>1</v>
      </c>
      <c r="L77" s="389">
        <f>128.0916/1.2</f>
        <v>106.74300000000001</v>
      </c>
      <c r="M77" s="400">
        <v>1</v>
      </c>
      <c r="N77" s="389">
        <f>128.0916/1.2</f>
        <v>106.74300000000001</v>
      </c>
      <c r="O77" s="214" t="s">
        <v>156</v>
      </c>
      <c r="P77" s="447"/>
      <c r="Q77" s="88">
        <f t="shared" si="40"/>
        <v>0</v>
      </c>
      <c r="R77" s="85">
        <f t="shared" si="41"/>
        <v>-26.743000000000009</v>
      </c>
      <c r="S77" s="86">
        <f t="shared" si="38"/>
        <v>26.743000000000009</v>
      </c>
      <c r="T77" s="224">
        <f t="shared" si="42"/>
        <v>0.33428750000000013</v>
      </c>
      <c r="U77" s="282"/>
      <c r="V77" s="186"/>
    </row>
    <row r="78" spans="1:22" s="245" customFormat="1" ht="38.25">
      <c r="A78" s="240" t="s">
        <v>114</v>
      </c>
      <c r="B78" s="323" t="s">
        <v>196</v>
      </c>
      <c r="C78" s="195" t="s">
        <v>36</v>
      </c>
      <c r="D78" s="273" t="s">
        <v>156</v>
      </c>
      <c r="E78" s="307">
        <f t="shared" si="43"/>
        <v>987.78625336927223</v>
      </c>
      <c r="F78" s="315">
        <f>F79</f>
        <v>3.71</v>
      </c>
      <c r="G78" s="321">
        <f>SUM(G79:G80)</f>
        <v>3664.6869999999999</v>
      </c>
      <c r="H78" s="243">
        <f>H79</f>
        <v>2.8591003269856334</v>
      </c>
      <c r="I78" s="174">
        <f>I79</f>
        <v>2824.18</v>
      </c>
      <c r="J78" s="91"/>
      <c r="K78" s="91"/>
      <c r="L78" s="86"/>
      <c r="M78" s="91"/>
      <c r="N78" s="91"/>
      <c r="O78" s="445"/>
      <c r="P78" s="445"/>
      <c r="Q78" s="231">
        <f t="shared" si="40"/>
        <v>2.8591003269856334</v>
      </c>
      <c r="R78" s="86">
        <f t="shared" si="41"/>
        <v>2824.18</v>
      </c>
      <c r="S78" s="86">
        <f t="shared" si="38"/>
        <v>-2824.18</v>
      </c>
      <c r="T78" s="223">
        <f t="shared" si="42"/>
        <v>-1</v>
      </c>
      <c r="U78" s="372" t="s">
        <v>389</v>
      </c>
      <c r="V78" s="188"/>
    </row>
    <row r="79" spans="1:22" s="59" customFormat="1" ht="15.75" customHeight="1">
      <c r="A79" s="167"/>
      <c r="B79" s="283" t="s">
        <v>151</v>
      </c>
      <c r="C79" s="205" t="s">
        <v>36</v>
      </c>
      <c r="D79" s="214" t="s">
        <v>156</v>
      </c>
      <c r="E79" s="177">
        <f>G79/F79</f>
        <v>966.22291105121292</v>
      </c>
      <c r="F79" s="270">
        <v>3.71</v>
      </c>
      <c r="G79" s="271">
        <v>3584.6869999999999</v>
      </c>
      <c r="H79" s="255">
        <v>2.8591003269856334</v>
      </c>
      <c r="I79" s="177">
        <v>2824.18</v>
      </c>
      <c r="J79" s="89"/>
      <c r="K79" s="89"/>
      <c r="L79" s="85"/>
      <c r="M79" s="89"/>
      <c r="N79" s="89"/>
      <c r="O79" s="446"/>
      <c r="P79" s="446"/>
      <c r="Q79" s="233">
        <f t="shared" si="40"/>
        <v>2.8591003269856334</v>
      </c>
      <c r="R79" s="85">
        <f t="shared" si="41"/>
        <v>2824.18</v>
      </c>
      <c r="S79" s="86">
        <f t="shared" si="38"/>
        <v>-2824.18</v>
      </c>
      <c r="T79" s="224">
        <f t="shared" si="42"/>
        <v>-1</v>
      </c>
      <c r="U79" s="282"/>
      <c r="V79" s="186"/>
    </row>
    <row r="80" spans="1:22" s="59" customFormat="1" ht="15.75">
      <c r="A80" s="167"/>
      <c r="B80" s="283" t="s">
        <v>197</v>
      </c>
      <c r="C80" s="205" t="s">
        <v>37</v>
      </c>
      <c r="D80" s="214" t="s">
        <v>156</v>
      </c>
      <c r="E80" s="177">
        <f t="shared" ref="E80" si="45">G80/F80</f>
        <v>80</v>
      </c>
      <c r="F80" s="272">
        <v>1</v>
      </c>
      <c r="G80" s="271">
        <v>80</v>
      </c>
      <c r="H80" s="164"/>
      <c r="I80" s="173"/>
      <c r="J80" s="89"/>
      <c r="K80" s="89"/>
      <c r="L80" s="85"/>
      <c r="M80" s="89"/>
      <c r="N80" s="89"/>
      <c r="O80" s="447"/>
      <c r="P80" s="447"/>
      <c r="Q80" s="88">
        <f t="shared" si="40"/>
        <v>0</v>
      </c>
      <c r="R80" s="85">
        <f t="shared" si="41"/>
        <v>0</v>
      </c>
      <c r="S80" s="86">
        <f t="shared" si="38"/>
        <v>0</v>
      </c>
      <c r="T80" s="224">
        <f t="shared" si="42"/>
        <v>-1</v>
      </c>
      <c r="U80" s="282"/>
      <c r="V80" s="186"/>
    </row>
    <row r="81" spans="1:22" s="245" customFormat="1" ht="38.25">
      <c r="A81" s="240" t="s">
        <v>115</v>
      </c>
      <c r="B81" s="314" t="s">
        <v>198</v>
      </c>
      <c r="C81" s="195" t="s">
        <v>36</v>
      </c>
      <c r="D81" s="273" t="s">
        <v>156</v>
      </c>
      <c r="E81" s="278">
        <f t="shared" si="43"/>
        <v>900.5488721804511</v>
      </c>
      <c r="F81" s="315">
        <f>SUM(F82:F83)</f>
        <v>2.66</v>
      </c>
      <c r="G81" s="278">
        <f>SUM(G82:G84)</f>
        <v>2395.46</v>
      </c>
      <c r="H81" s="247"/>
      <c r="I81" s="244"/>
      <c r="J81" s="91"/>
      <c r="K81" s="91"/>
      <c r="L81" s="86"/>
      <c r="M81" s="91"/>
      <c r="N81" s="91"/>
      <c r="O81" s="445"/>
      <c r="P81" s="445"/>
      <c r="Q81" s="231">
        <f t="shared" si="40"/>
        <v>0</v>
      </c>
      <c r="R81" s="86">
        <f t="shared" si="41"/>
        <v>0</v>
      </c>
      <c r="S81" s="86">
        <f t="shared" si="38"/>
        <v>0</v>
      </c>
      <c r="T81" s="223">
        <f t="shared" si="42"/>
        <v>-1</v>
      </c>
      <c r="U81" s="372" t="s">
        <v>389</v>
      </c>
      <c r="V81" s="188"/>
    </row>
    <row r="82" spans="1:22" s="59" customFormat="1" ht="15.75" customHeight="1">
      <c r="A82" s="167"/>
      <c r="B82" s="283" t="s">
        <v>151</v>
      </c>
      <c r="C82" s="205" t="s">
        <v>36</v>
      </c>
      <c r="D82" s="214" t="s">
        <v>156</v>
      </c>
      <c r="E82" s="177">
        <f>G82/F82</f>
        <v>879.79230769230765</v>
      </c>
      <c r="F82" s="270">
        <v>2.6</v>
      </c>
      <c r="G82" s="271">
        <v>2287.46</v>
      </c>
      <c r="H82" s="164"/>
      <c r="I82" s="173"/>
      <c r="J82" s="175"/>
      <c r="K82" s="164"/>
      <c r="L82" s="173"/>
      <c r="M82" s="164"/>
      <c r="N82" s="266"/>
      <c r="O82" s="446"/>
      <c r="P82" s="446"/>
      <c r="Q82" s="233">
        <f t="shared" si="40"/>
        <v>0</v>
      </c>
      <c r="R82" s="85">
        <f t="shared" si="41"/>
        <v>0</v>
      </c>
      <c r="S82" s="86">
        <f t="shared" si="38"/>
        <v>0</v>
      </c>
      <c r="T82" s="224">
        <f t="shared" si="42"/>
        <v>-1</v>
      </c>
      <c r="U82" s="282"/>
      <c r="V82" s="186"/>
    </row>
    <row r="83" spans="1:22" s="59" customFormat="1" ht="15.75">
      <c r="A83" s="167"/>
      <c r="B83" s="283" t="s">
        <v>189</v>
      </c>
      <c r="C83" s="205" t="s">
        <v>36</v>
      </c>
      <c r="D83" s="214" t="s">
        <v>156</v>
      </c>
      <c r="E83" s="177">
        <f t="shared" ref="E83:E84" si="46">G83/F83</f>
        <v>133.33333333333334</v>
      </c>
      <c r="F83" s="270">
        <v>0.06</v>
      </c>
      <c r="G83" s="271">
        <v>8</v>
      </c>
      <c r="H83" s="164"/>
      <c r="I83" s="173"/>
      <c r="J83" s="175"/>
      <c r="K83" s="258"/>
      <c r="L83" s="264"/>
      <c r="M83" s="258"/>
      <c r="N83" s="261"/>
      <c r="O83" s="446"/>
      <c r="P83" s="446"/>
      <c r="Q83" s="233">
        <f t="shared" si="40"/>
        <v>0</v>
      </c>
      <c r="R83" s="85">
        <f t="shared" si="41"/>
        <v>0</v>
      </c>
      <c r="S83" s="86">
        <f t="shared" si="38"/>
        <v>0</v>
      </c>
      <c r="T83" s="224">
        <f t="shared" si="42"/>
        <v>-1</v>
      </c>
      <c r="U83" s="282"/>
      <c r="V83" s="186"/>
    </row>
    <row r="84" spans="1:22" s="59" customFormat="1" ht="31.5">
      <c r="A84" s="167"/>
      <c r="B84" s="283" t="s">
        <v>199</v>
      </c>
      <c r="C84" s="205" t="s">
        <v>37</v>
      </c>
      <c r="D84" s="214" t="s">
        <v>156</v>
      </c>
      <c r="E84" s="177">
        <f t="shared" si="46"/>
        <v>100</v>
      </c>
      <c r="F84" s="272">
        <v>1</v>
      </c>
      <c r="G84" s="271">
        <v>100</v>
      </c>
      <c r="H84" s="164"/>
      <c r="I84" s="173"/>
      <c r="J84" s="175"/>
      <c r="K84" s="164"/>
      <c r="L84" s="173"/>
      <c r="M84" s="164"/>
      <c r="N84" s="266"/>
      <c r="O84" s="447"/>
      <c r="P84" s="447"/>
      <c r="Q84" s="88">
        <f t="shared" si="40"/>
        <v>0</v>
      </c>
      <c r="R84" s="85">
        <f t="shared" si="41"/>
        <v>0</v>
      </c>
      <c r="S84" s="86">
        <f t="shared" si="38"/>
        <v>0</v>
      </c>
      <c r="T84" s="224">
        <f t="shared" si="42"/>
        <v>-1</v>
      </c>
      <c r="U84" s="282"/>
      <c r="V84" s="186"/>
    </row>
    <row r="85" spans="1:22" s="59" customFormat="1" ht="15.75">
      <c r="A85" s="167"/>
      <c r="B85" s="302" t="s">
        <v>89</v>
      </c>
      <c r="C85" s="293"/>
      <c r="D85" s="293"/>
      <c r="E85" s="177"/>
      <c r="F85" s="261"/>
      <c r="G85" s="296"/>
      <c r="H85" s="164"/>
      <c r="I85" s="173"/>
      <c r="J85" s="175"/>
      <c r="K85" s="258"/>
      <c r="L85" s="264"/>
      <c r="M85" s="258"/>
      <c r="N85" s="261"/>
      <c r="O85" s="281"/>
      <c r="P85" s="281"/>
      <c r="Q85" s="233"/>
      <c r="R85" s="85"/>
      <c r="S85" s="86">
        <f t="shared" si="38"/>
        <v>0</v>
      </c>
      <c r="T85" s="224"/>
      <c r="U85" s="282"/>
      <c r="V85" s="186"/>
    </row>
    <row r="86" spans="1:22" s="245" customFormat="1" ht="15.75">
      <c r="A86" s="240" t="s">
        <v>116</v>
      </c>
      <c r="B86" s="306" t="s">
        <v>200</v>
      </c>
      <c r="C86" s="195" t="s">
        <v>36</v>
      </c>
      <c r="D86" s="273" t="s">
        <v>156</v>
      </c>
      <c r="E86" s="307">
        <f t="shared" ref="E86:E120" si="47">G86/F86</f>
        <v>451.20075440067058</v>
      </c>
      <c r="F86" s="315">
        <f>SUM(F87:F88)</f>
        <v>4.7720000000000002</v>
      </c>
      <c r="G86" s="321">
        <f>SUM(G87:G91)</f>
        <v>2153.13</v>
      </c>
      <c r="H86" s="243"/>
      <c r="I86" s="174"/>
      <c r="J86" s="242"/>
      <c r="K86" s="253"/>
      <c r="L86" s="407"/>
      <c r="M86" s="242"/>
      <c r="N86" s="247"/>
      <c r="O86" s="445"/>
      <c r="P86" s="445"/>
      <c r="Q86" s="231">
        <f t="shared" ref="Q86:Q98" si="48">H86-K86</f>
        <v>0</v>
      </c>
      <c r="R86" s="86">
        <f t="shared" ref="R86:R98" si="49">I86-L86</f>
        <v>0</v>
      </c>
      <c r="S86" s="86">
        <f t="shared" si="38"/>
        <v>0</v>
      </c>
      <c r="T86" s="223">
        <f t="shared" ref="T86:T98" si="50">(J86-E86)/E86</f>
        <v>-1</v>
      </c>
      <c r="U86" s="372" t="s">
        <v>384</v>
      </c>
      <c r="V86" s="188"/>
    </row>
    <row r="87" spans="1:22" s="59" customFormat="1" ht="15.75">
      <c r="A87" s="167"/>
      <c r="B87" s="285" t="s">
        <v>151</v>
      </c>
      <c r="C87" s="205" t="s">
        <v>36</v>
      </c>
      <c r="D87" s="214" t="s">
        <v>156</v>
      </c>
      <c r="E87" s="177">
        <f t="shared" si="47"/>
        <v>511.67610062893084</v>
      </c>
      <c r="F87" s="255">
        <v>3.18</v>
      </c>
      <c r="G87" s="254">
        <v>1627.13</v>
      </c>
      <c r="H87" s="176"/>
      <c r="I87" s="173"/>
      <c r="J87" s="175"/>
      <c r="K87" s="238"/>
      <c r="L87" s="408"/>
      <c r="M87" s="175"/>
      <c r="N87" s="166"/>
      <c r="O87" s="446"/>
      <c r="P87" s="446"/>
      <c r="Q87" s="233">
        <f t="shared" si="48"/>
        <v>0</v>
      </c>
      <c r="R87" s="85">
        <f t="shared" si="49"/>
        <v>0</v>
      </c>
      <c r="S87" s="86">
        <f t="shared" si="38"/>
        <v>0</v>
      </c>
      <c r="T87" s="224">
        <f t="shared" si="50"/>
        <v>-1</v>
      </c>
      <c r="U87" s="282"/>
      <c r="V87" s="186"/>
    </row>
    <row r="88" spans="1:22" s="59" customFormat="1" ht="15.75">
      <c r="A88" s="167"/>
      <c r="B88" s="285" t="s">
        <v>152</v>
      </c>
      <c r="C88" s="205" t="s">
        <v>36</v>
      </c>
      <c r="D88" s="214" t="s">
        <v>156</v>
      </c>
      <c r="E88" s="177">
        <f t="shared" si="47"/>
        <v>198.49246231155777</v>
      </c>
      <c r="F88" s="255">
        <v>1.5920000000000001</v>
      </c>
      <c r="G88" s="254">
        <v>316</v>
      </c>
      <c r="H88" s="320"/>
      <c r="I88" s="173"/>
      <c r="J88" s="175"/>
      <c r="K88" s="164"/>
      <c r="L88" s="173"/>
      <c r="M88" s="164"/>
      <c r="N88" s="266"/>
      <c r="O88" s="446"/>
      <c r="P88" s="446"/>
      <c r="Q88" s="233">
        <f t="shared" si="48"/>
        <v>0</v>
      </c>
      <c r="R88" s="85">
        <f t="shared" si="49"/>
        <v>0</v>
      </c>
      <c r="S88" s="86">
        <f t="shared" si="38"/>
        <v>0</v>
      </c>
      <c r="T88" s="224">
        <f t="shared" si="50"/>
        <v>-1</v>
      </c>
      <c r="U88" s="282"/>
      <c r="V88" s="186"/>
    </row>
    <row r="89" spans="1:22" s="59" customFormat="1" ht="15.75">
      <c r="A89" s="167"/>
      <c r="B89" s="285" t="s">
        <v>175</v>
      </c>
      <c r="C89" s="205" t="s">
        <v>37</v>
      </c>
      <c r="D89" s="214" t="s">
        <v>156</v>
      </c>
      <c r="E89" s="177">
        <f t="shared" si="47"/>
        <v>45</v>
      </c>
      <c r="F89" s="256">
        <v>2</v>
      </c>
      <c r="G89" s="254">
        <v>90</v>
      </c>
      <c r="H89" s="164"/>
      <c r="I89" s="173"/>
      <c r="J89" s="175"/>
      <c r="K89" s="238"/>
      <c r="L89" s="408"/>
      <c r="M89" s="238"/>
      <c r="N89" s="166"/>
      <c r="O89" s="446"/>
      <c r="P89" s="446"/>
      <c r="Q89" s="88">
        <f t="shared" si="48"/>
        <v>0</v>
      </c>
      <c r="R89" s="85">
        <f t="shared" si="49"/>
        <v>0</v>
      </c>
      <c r="S89" s="86">
        <f t="shared" si="38"/>
        <v>0</v>
      </c>
      <c r="T89" s="224">
        <f t="shared" si="50"/>
        <v>-1</v>
      </c>
      <c r="U89" s="282"/>
      <c r="V89" s="186"/>
    </row>
    <row r="90" spans="1:22" s="59" customFormat="1" ht="15.75">
      <c r="A90" s="167"/>
      <c r="B90" s="285" t="s">
        <v>201</v>
      </c>
      <c r="C90" s="205" t="s">
        <v>37</v>
      </c>
      <c r="D90" s="214" t="s">
        <v>156</v>
      </c>
      <c r="E90" s="177">
        <f t="shared" si="47"/>
        <v>55</v>
      </c>
      <c r="F90" s="256">
        <v>1</v>
      </c>
      <c r="G90" s="254">
        <v>55</v>
      </c>
      <c r="H90" s="176"/>
      <c r="I90" s="173"/>
      <c r="J90" s="175"/>
      <c r="K90" s="239"/>
      <c r="L90" s="408"/>
      <c r="M90" s="239"/>
      <c r="N90" s="166"/>
      <c r="O90" s="446"/>
      <c r="P90" s="446"/>
      <c r="Q90" s="88">
        <f t="shared" si="48"/>
        <v>0</v>
      </c>
      <c r="R90" s="85">
        <f t="shared" si="49"/>
        <v>0</v>
      </c>
      <c r="S90" s="86">
        <f t="shared" si="38"/>
        <v>0</v>
      </c>
      <c r="T90" s="224">
        <f t="shared" si="50"/>
        <v>-1</v>
      </c>
      <c r="U90" s="282"/>
      <c r="V90" s="186"/>
    </row>
    <row r="91" spans="1:22" s="59" customFormat="1" ht="31.5">
      <c r="A91" s="167"/>
      <c r="B91" s="285" t="s">
        <v>202</v>
      </c>
      <c r="C91" s="205" t="s">
        <v>37</v>
      </c>
      <c r="D91" s="214" t="s">
        <v>156</v>
      </c>
      <c r="E91" s="177">
        <f t="shared" si="47"/>
        <v>65</v>
      </c>
      <c r="F91" s="256">
        <v>1</v>
      </c>
      <c r="G91" s="254">
        <v>65</v>
      </c>
      <c r="H91" s="320"/>
      <c r="I91" s="173"/>
      <c r="J91" s="175"/>
      <c r="K91" s="164"/>
      <c r="L91" s="173"/>
      <c r="M91" s="164"/>
      <c r="N91" s="266"/>
      <c r="O91" s="447"/>
      <c r="P91" s="447"/>
      <c r="Q91" s="88">
        <f t="shared" si="48"/>
        <v>0</v>
      </c>
      <c r="R91" s="85">
        <f t="shared" si="49"/>
        <v>0</v>
      </c>
      <c r="S91" s="86">
        <f t="shared" si="38"/>
        <v>0</v>
      </c>
      <c r="T91" s="224">
        <f t="shared" si="50"/>
        <v>-1</v>
      </c>
      <c r="U91" s="282"/>
      <c r="V91" s="186"/>
    </row>
    <row r="92" spans="1:22" s="245" customFormat="1" ht="15.75">
      <c r="A92" s="240" t="s">
        <v>117</v>
      </c>
      <c r="B92" s="314" t="s">
        <v>203</v>
      </c>
      <c r="C92" s="195" t="s">
        <v>36</v>
      </c>
      <c r="D92" s="273" t="s">
        <v>156</v>
      </c>
      <c r="E92" s="307">
        <f t="shared" si="47"/>
        <v>529.33132731527917</v>
      </c>
      <c r="F92" s="310">
        <f>F93</f>
        <v>2.9910000000000001</v>
      </c>
      <c r="G92" s="312">
        <f>G93</f>
        <v>1583.23</v>
      </c>
      <c r="H92" s="310"/>
      <c r="I92" s="312"/>
      <c r="J92" s="242"/>
      <c r="K92" s="253"/>
      <c r="L92" s="407"/>
      <c r="M92" s="253"/>
      <c r="N92" s="247"/>
      <c r="O92" s="445"/>
      <c r="P92" s="445"/>
      <c r="Q92" s="231">
        <f t="shared" si="48"/>
        <v>0</v>
      </c>
      <c r="R92" s="86">
        <f t="shared" si="49"/>
        <v>0</v>
      </c>
      <c r="S92" s="86">
        <f t="shared" si="38"/>
        <v>0</v>
      </c>
      <c r="T92" s="223">
        <f t="shared" si="50"/>
        <v>-1</v>
      </c>
      <c r="U92" s="372" t="s">
        <v>384</v>
      </c>
      <c r="V92" s="188"/>
    </row>
    <row r="93" spans="1:22" s="59" customFormat="1" ht="15.75">
      <c r="A93" s="167"/>
      <c r="B93" s="283" t="s">
        <v>151</v>
      </c>
      <c r="C93" s="205" t="s">
        <v>36</v>
      </c>
      <c r="D93" s="214" t="s">
        <v>156</v>
      </c>
      <c r="E93" s="177">
        <f t="shared" si="47"/>
        <v>529.33132731527917</v>
      </c>
      <c r="F93" s="258">
        <v>2.9910000000000001</v>
      </c>
      <c r="G93" s="259">
        <v>1583.23</v>
      </c>
      <c r="H93" s="166"/>
      <c r="I93" s="133"/>
      <c r="J93" s="175"/>
      <c r="K93" s="89"/>
      <c r="L93" s="85"/>
      <c r="M93" s="89"/>
      <c r="N93" s="89"/>
      <c r="O93" s="447"/>
      <c r="P93" s="447"/>
      <c r="Q93" s="233">
        <f t="shared" si="48"/>
        <v>0</v>
      </c>
      <c r="R93" s="85">
        <f t="shared" si="49"/>
        <v>0</v>
      </c>
      <c r="S93" s="86">
        <f t="shared" si="38"/>
        <v>0</v>
      </c>
      <c r="T93" s="224">
        <f t="shared" si="50"/>
        <v>-1</v>
      </c>
      <c r="U93" s="282"/>
      <c r="V93" s="186"/>
    </row>
    <row r="94" spans="1:22" s="245" customFormat="1" ht="15.75">
      <c r="A94" s="240" t="s">
        <v>118</v>
      </c>
      <c r="B94" s="314" t="s">
        <v>204</v>
      </c>
      <c r="C94" s="195" t="s">
        <v>36</v>
      </c>
      <c r="D94" s="273" t="s">
        <v>156</v>
      </c>
      <c r="E94" s="307">
        <f t="shared" si="47"/>
        <v>637.6648044692738</v>
      </c>
      <c r="F94" s="310">
        <f>SUM(F95:F96)</f>
        <v>1.79</v>
      </c>
      <c r="G94" s="324">
        <f>SUM(G95:G98)</f>
        <v>1141.42</v>
      </c>
      <c r="H94" s="252"/>
      <c r="I94" s="174"/>
      <c r="J94" s="242"/>
      <c r="K94" s="243"/>
      <c r="L94" s="174"/>
      <c r="M94" s="243"/>
      <c r="N94" s="265"/>
      <c r="O94" s="445"/>
      <c r="P94" s="445"/>
      <c r="Q94" s="231">
        <f t="shared" si="48"/>
        <v>0</v>
      </c>
      <c r="R94" s="86">
        <f t="shared" si="49"/>
        <v>0</v>
      </c>
      <c r="S94" s="86">
        <f t="shared" si="38"/>
        <v>0</v>
      </c>
      <c r="T94" s="223">
        <f t="shared" si="50"/>
        <v>-1</v>
      </c>
      <c r="U94" s="372" t="s">
        <v>384</v>
      </c>
      <c r="V94" s="188"/>
    </row>
    <row r="95" spans="1:22" s="59" customFormat="1" ht="15.75">
      <c r="A95" s="167"/>
      <c r="B95" s="283" t="s">
        <v>151</v>
      </c>
      <c r="C95" s="205" t="s">
        <v>36</v>
      </c>
      <c r="D95" s="214" t="s">
        <v>156</v>
      </c>
      <c r="E95" s="177">
        <f>G95/F95</f>
        <v>543.74011299435028</v>
      </c>
      <c r="F95" s="270">
        <v>1.77</v>
      </c>
      <c r="G95" s="284">
        <v>962.42000000000007</v>
      </c>
      <c r="H95" s="258"/>
      <c r="I95" s="261"/>
      <c r="J95" s="175"/>
      <c r="K95" s="238"/>
      <c r="L95" s="408"/>
      <c r="M95" s="238"/>
      <c r="N95" s="166"/>
      <c r="O95" s="446"/>
      <c r="P95" s="446"/>
      <c r="Q95" s="233">
        <f t="shared" si="48"/>
        <v>0</v>
      </c>
      <c r="R95" s="85">
        <f t="shared" si="49"/>
        <v>0</v>
      </c>
      <c r="S95" s="86">
        <f t="shared" si="38"/>
        <v>0</v>
      </c>
      <c r="T95" s="224">
        <f t="shared" si="50"/>
        <v>-1</v>
      </c>
      <c r="U95" s="282"/>
      <c r="V95" s="186"/>
    </row>
    <row r="96" spans="1:22" s="59" customFormat="1" ht="15.75">
      <c r="A96" s="167"/>
      <c r="B96" s="283" t="s">
        <v>152</v>
      </c>
      <c r="C96" s="205" t="s">
        <v>36</v>
      </c>
      <c r="D96" s="214" t="s">
        <v>156</v>
      </c>
      <c r="E96" s="177">
        <f t="shared" ref="E96:E98" si="51">G96/F96</f>
        <v>450</v>
      </c>
      <c r="F96" s="270">
        <v>0.02</v>
      </c>
      <c r="G96" s="284">
        <v>9</v>
      </c>
      <c r="H96" s="258"/>
      <c r="I96" s="261"/>
      <c r="J96" s="175"/>
      <c r="K96" s="238"/>
      <c r="L96" s="408"/>
      <c r="M96" s="238"/>
      <c r="N96" s="166"/>
      <c r="O96" s="446"/>
      <c r="P96" s="446"/>
      <c r="Q96" s="233">
        <f t="shared" si="48"/>
        <v>0</v>
      </c>
      <c r="R96" s="85">
        <f t="shared" si="49"/>
        <v>0</v>
      </c>
      <c r="S96" s="86">
        <f t="shared" si="38"/>
        <v>0</v>
      </c>
      <c r="T96" s="224">
        <f t="shared" si="50"/>
        <v>-1</v>
      </c>
      <c r="U96" s="282"/>
      <c r="V96" s="186"/>
    </row>
    <row r="97" spans="1:22" s="59" customFormat="1" ht="31.5">
      <c r="A97" s="167"/>
      <c r="B97" s="283" t="s">
        <v>205</v>
      </c>
      <c r="C97" s="205" t="s">
        <v>37</v>
      </c>
      <c r="D97" s="214" t="s">
        <v>156</v>
      </c>
      <c r="E97" s="177">
        <f t="shared" si="51"/>
        <v>45</v>
      </c>
      <c r="F97" s="272">
        <v>2</v>
      </c>
      <c r="G97" s="284">
        <v>90</v>
      </c>
      <c r="H97" s="260"/>
      <c r="I97" s="261"/>
      <c r="J97" s="175"/>
      <c r="K97" s="239"/>
      <c r="L97" s="408"/>
      <c r="M97" s="239"/>
      <c r="N97" s="166"/>
      <c r="O97" s="446"/>
      <c r="P97" s="446"/>
      <c r="Q97" s="88">
        <f t="shared" si="48"/>
        <v>0</v>
      </c>
      <c r="R97" s="85">
        <f t="shared" si="49"/>
        <v>0</v>
      </c>
      <c r="S97" s="86">
        <f t="shared" si="38"/>
        <v>0</v>
      </c>
      <c r="T97" s="224">
        <f t="shared" si="50"/>
        <v>-1</v>
      </c>
      <c r="U97" s="282"/>
      <c r="V97" s="186"/>
    </row>
    <row r="98" spans="1:22" s="59" customFormat="1" ht="15.75">
      <c r="A98" s="167"/>
      <c r="B98" s="283" t="s">
        <v>206</v>
      </c>
      <c r="C98" s="205" t="s">
        <v>37</v>
      </c>
      <c r="D98" s="214" t="s">
        <v>156</v>
      </c>
      <c r="E98" s="177">
        <f t="shared" si="51"/>
        <v>80</v>
      </c>
      <c r="F98" s="272">
        <v>1</v>
      </c>
      <c r="G98" s="284">
        <v>80</v>
      </c>
      <c r="H98" s="166"/>
      <c r="I98" s="133"/>
      <c r="J98" s="89"/>
      <c r="K98" s="89"/>
      <c r="L98" s="85"/>
      <c r="M98" s="89"/>
      <c r="N98" s="89"/>
      <c r="O98" s="447"/>
      <c r="P98" s="447"/>
      <c r="Q98" s="88">
        <f t="shared" si="48"/>
        <v>0</v>
      </c>
      <c r="R98" s="85">
        <f t="shared" si="49"/>
        <v>0</v>
      </c>
      <c r="S98" s="86">
        <f t="shared" si="38"/>
        <v>0</v>
      </c>
      <c r="T98" s="224">
        <f t="shared" si="50"/>
        <v>-1</v>
      </c>
      <c r="U98" s="282"/>
      <c r="V98" s="186"/>
    </row>
    <row r="99" spans="1:22" s="245" customFormat="1" ht="15.75" customHeight="1">
      <c r="A99" s="240"/>
      <c r="B99" s="302" t="s">
        <v>207</v>
      </c>
      <c r="C99" s="293"/>
      <c r="D99" s="293"/>
      <c r="E99" s="177"/>
      <c r="F99" s="261"/>
      <c r="G99" s="296"/>
      <c r="H99" s="252"/>
      <c r="I99" s="174"/>
      <c r="J99" s="242"/>
      <c r="K99" s="243"/>
      <c r="L99" s="174"/>
      <c r="M99" s="243"/>
      <c r="N99" s="265"/>
      <c r="O99" s="281"/>
      <c r="P99" s="281"/>
      <c r="Q99" s="233"/>
      <c r="R99" s="85"/>
      <c r="S99" s="86">
        <f t="shared" si="38"/>
        <v>0</v>
      </c>
      <c r="T99" s="224"/>
      <c r="U99" s="282"/>
      <c r="V99" s="188"/>
    </row>
    <row r="100" spans="1:22" s="245" customFormat="1" ht="38.25">
      <c r="A100" s="240" t="s">
        <v>119</v>
      </c>
      <c r="B100" s="314" t="s">
        <v>208</v>
      </c>
      <c r="C100" s="195" t="s">
        <v>36</v>
      </c>
      <c r="D100" s="273" t="s">
        <v>156</v>
      </c>
      <c r="E100" s="307">
        <f t="shared" si="47"/>
        <v>721.49494949494942</v>
      </c>
      <c r="F100" s="310">
        <f>F101</f>
        <v>0.99</v>
      </c>
      <c r="G100" s="311">
        <f>SUM(G101:G102)</f>
        <v>714.28</v>
      </c>
      <c r="H100" s="310"/>
      <c r="I100" s="312"/>
      <c r="J100" s="242"/>
      <c r="K100" s="91"/>
      <c r="L100" s="409"/>
      <c r="M100" s="91"/>
      <c r="N100" s="325"/>
      <c r="O100" s="445"/>
      <c r="P100" s="445"/>
      <c r="Q100" s="231">
        <f t="shared" ref="Q100:Q110" si="52">H100-K100</f>
        <v>0</v>
      </c>
      <c r="R100" s="86">
        <f t="shared" ref="R100:R110" si="53">I100-L100</f>
        <v>0</v>
      </c>
      <c r="S100" s="86">
        <f t="shared" si="38"/>
        <v>0</v>
      </c>
      <c r="T100" s="223">
        <f t="shared" ref="T100:T110" si="54">(J100-E100)/E100</f>
        <v>-1</v>
      </c>
      <c r="U100" s="373" t="s">
        <v>388</v>
      </c>
      <c r="V100" s="188"/>
    </row>
    <row r="101" spans="1:22" s="59" customFormat="1" ht="15.75">
      <c r="A101" s="167"/>
      <c r="B101" s="283" t="s">
        <v>151</v>
      </c>
      <c r="C101" s="205" t="s">
        <v>36</v>
      </c>
      <c r="D101" s="214" t="s">
        <v>156</v>
      </c>
      <c r="E101" s="177">
        <f t="shared" si="47"/>
        <v>640.68686868686871</v>
      </c>
      <c r="F101" s="258">
        <v>0.99</v>
      </c>
      <c r="G101" s="264">
        <v>634.28</v>
      </c>
      <c r="H101" s="164"/>
      <c r="I101" s="173"/>
      <c r="J101" s="175"/>
      <c r="K101" s="164"/>
      <c r="L101" s="173"/>
      <c r="M101" s="164"/>
      <c r="N101" s="266"/>
      <c r="O101" s="446"/>
      <c r="P101" s="446"/>
      <c r="Q101" s="233">
        <f t="shared" si="52"/>
        <v>0</v>
      </c>
      <c r="R101" s="85">
        <f t="shared" si="53"/>
        <v>0</v>
      </c>
      <c r="S101" s="86">
        <f t="shared" si="38"/>
        <v>0</v>
      </c>
      <c r="T101" s="224">
        <f t="shared" si="54"/>
        <v>-1</v>
      </c>
      <c r="U101" s="282"/>
      <c r="V101" s="186"/>
    </row>
    <row r="102" spans="1:22" s="59" customFormat="1" ht="15.75">
      <c r="A102" s="167"/>
      <c r="B102" s="283" t="s">
        <v>209</v>
      </c>
      <c r="C102" s="205" t="s">
        <v>37</v>
      </c>
      <c r="D102" s="214" t="s">
        <v>156</v>
      </c>
      <c r="E102" s="177">
        <f t="shared" si="47"/>
        <v>80</v>
      </c>
      <c r="F102" s="260">
        <v>1</v>
      </c>
      <c r="G102" s="264">
        <v>80</v>
      </c>
      <c r="H102" s="164"/>
      <c r="I102" s="173"/>
      <c r="J102" s="175"/>
      <c r="K102" s="238"/>
      <c r="L102" s="408"/>
      <c r="M102" s="238"/>
      <c r="N102" s="166"/>
      <c r="O102" s="447"/>
      <c r="P102" s="447"/>
      <c r="Q102" s="88">
        <f t="shared" si="52"/>
        <v>0</v>
      </c>
      <c r="R102" s="85">
        <f t="shared" si="53"/>
        <v>0</v>
      </c>
      <c r="S102" s="86">
        <f t="shared" si="38"/>
        <v>0</v>
      </c>
      <c r="T102" s="224">
        <f t="shared" si="54"/>
        <v>-1</v>
      </c>
      <c r="U102" s="282"/>
      <c r="V102" s="186"/>
    </row>
    <row r="103" spans="1:22" s="245" customFormat="1" ht="38.25">
      <c r="A103" s="241" t="s">
        <v>120</v>
      </c>
      <c r="B103" s="314" t="s">
        <v>210</v>
      </c>
      <c r="C103" s="195" t="s">
        <v>36</v>
      </c>
      <c r="D103" s="273" t="s">
        <v>156</v>
      </c>
      <c r="E103" s="307">
        <f t="shared" si="47"/>
        <v>563.58047493403683</v>
      </c>
      <c r="F103" s="310">
        <f>F104</f>
        <v>3.79</v>
      </c>
      <c r="G103" s="311">
        <f>SUM(G104:G105)</f>
        <v>2135.9699999999998</v>
      </c>
      <c r="H103" s="243"/>
      <c r="I103" s="174"/>
      <c r="J103" s="307">
        <f t="shared" ref="J103:J104" si="55">L103/K103</f>
        <v>511.57919999999996</v>
      </c>
      <c r="K103" s="310">
        <f>K104</f>
        <v>2.5</v>
      </c>
      <c r="L103" s="311">
        <f>SUM(L104:L105)</f>
        <v>1278.9479999999999</v>
      </c>
      <c r="M103" s="310">
        <f>M104</f>
        <v>2.5</v>
      </c>
      <c r="N103" s="312">
        <f>SUM(N104:N105)</f>
        <v>1278.9479999999999</v>
      </c>
      <c r="O103" s="273" t="s">
        <v>156</v>
      </c>
      <c r="P103" s="445"/>
      <c r="Q103" s="231">
        <f t="shared" si="52"/>
        <v>-2.5</v>
      </c>
      <c r="R103" s="86">
        <f t="shared" si="53"/>
        <v>-1278.9479999999999</v>
      </c>
      <c r="S103" s="86">
        <f t="shared" si="38"/>
        <v>1278.9479999999999</v>
      </c>
      <c r="T103" s="223">
        <f t="shared" si="54"/>
        <v>-9.2269475694883252E-2</v>
      </c>
      <c r="U103" s="373" t="s">
        <v>388</v>
      </c>
      <c r="V103" s="188"/>
    </row>
    <row r="104" spans="1:22" s="59" customFormat="1" ht="15.75">
      <c r="A104" s="167"/>
      <c r="B104" s="283" t="s">
        <v>151</v>
      </c>
      <c r="C104" s="205" t="s">
        <v>36</v>
      </c>
      <c r="D104" s="214" t="s">
        <v>156</v>
      </c>
      <c r="E104" s="177">
        <f t="shared" si="47"/>
        <v>542.47229551451187</v>
      </c>
      <c r="F104" s="258">
        <v>3.79</v>
      </c>
      <c r="G104" s="264">
        <v>2055.9699999999998</v>
      </c>
      <c r="H104" s="176"/>
      <c r="I104" s="173"/>
      <c r="J104" s="387">
        <f t="shared" si="55"/>
        <v>511.57919999999996</v>
      </c>
      <c r="K104" s="396">
        <v>2.5</v>
      </c>
      <c r="L104" s="394">
        <f>869.834+409.114</f>
        <v>1278.9479999999999</v>
      </c>
      <c r="M104" s="396">
        <v>2.5</v>
      </c>
      <c r="N104" s="402">
        <f>869.834+409.114</f>
        <v>1278.9479999999999</v>
      </c>
      <c r="O104" s="214" t="s">
        <v>156</v>
      </c>
      <c r="P104" s="446"/>
      <c r="Q104" s="233">
        <f t="shared" si="52"/>
        <v>-2.5</v>
      </c>
      <c r="R104" s="85">
        <f t="shared" si="53"/>
        <v>-1278.9479999999999</v>
      </c>
      <c r="S104" s="86">
        <f t="shared" si="38"/>
        <v>1278.9479999999999</v>
      </c>
      <c r="T104" s="224">
        <f t="shared" si="54"/>
        <v>-5.694870644999691E-2</v>
      </c>
      <c r="U104" s="282"/>
      <c r="V104" s="186"/>
    </row>
    <row r="105" spans="1:22" s="59" customFormat="1" ht="15.75">
      <c r="A105" s="167"/>
      <c r="B105" s="283" t="s">
        <v>211</v>
      </c>
      <c r="C105" s="205" t="s">
        <v>37</v>
      </c>
      <c r="D105" s="214" t="s">
        <v>156</v>
      </c>
      <c r="E105" s="177">
        <f t="shared" si="47"/>
        <v>80</v>
      </c>
      <c r="F105" s="260">
        <v>1</v>
      </c>
      <c r="G105" s="264">
        <v>80</v>
      </c>
      <c r="H105" s="176"/>
      <c r="I105" s="173"/>
      <c r="J105" s="177"/>
      <c r="K105" s="260"/>
      <c r="L105" s="264"/>
      <c r="M105" s="239"/>
      <c r="N105" s="166"/>
      <c r="O105" s="214" t="s">
        <v>156</v>
      </c>
      <c r="P105" s="447"/>
      <c r="Q105" s="88">
        <f t="shared" si="52"/>
        <v>0</v>
      </c>
      <c r="R105" s="85">
        <f t="shared" si="53"/>
        <v>0</v>
      </c>
      <c r="S105" s="86">
        <f t="shared" si="38"/>
        <v>0</v>
      </c>
      <c r="T105" s="224">
        <f t="shared" si="54"/>
        <v>-1</v>
      </c>
      <c r="U105" s="282"/>
      <c r="V105" s="186"/>
    </row>
    <row r="106" spans="1:22" s="245" customFormat="1" ht="15.75" customHeight="1">
      <c r="A106" s="241" t="s">
        <v>121</v>
      </c>
      <c r="B106" s="323" t="s">
        <v>212</v>
      </c>
      <c r="C106" s="195" t="s">
        <v>36</v>
      </c>
      <c r="D106" s="273" t="s">
        <v>156</v>
      </c>
      <c r="E106" s="307">
        <f t="shared" si="47"/>
        <v>620.03404255319151</v>
      </c>
      <c r="F106" s="310">
        <f>SUM(F107:F108)</f>
        <v>3.5249999999999999</v>
      </c>
      <c r="G106" s="328">
        <f>SUM(G107:G110)</f>
        <v>2185.62</v>
      </c>
      <c r="H106" s="248"/>
      <c r="I106" s="134"/>
      <c r="J106" s="307">
        <f t="shared" ref="J106:J107" si="56">L106/K106</f>
        <v>557.69391304347835</v>
      </c>
      <c r="K106" s="310">
        <f>SUM(K107:K108)</f>
        <v>2.2999999999999998</v>
      </c>
      <c r="L106" s="328">
        <f>SUM(L107:L110)</f>
        <v>1282.6960000000001</v>
      </c>
      <c r="M106" s="310">
        <f>SUM(M107:M108)</f>
        <v>2.2999999999999998</v>
      </c>
      <c r="N106" s="328">
        <f>SUM(N107:N110)</f>
        <v>1282.6960000000001</v>
      </c>
      <c r="O106" s="445"/>
      <c r="P106" s="445"/>
      <c r="Q106" s="231">
        <f t="shared" si="52"/>
        <v>-2.2999999999999998</v>
      </c>
      <c r="R106" s="86">
        <f t="shared" si="53"/>
        <v>-1282.6960000000001</v>
      </c>
      <c r="S106" s="86">
        <f t="shared" si="38"/>
        <v>1282.6960000000001</v>
      </c>
      <c r="T106" s="223">
        <f t="shared" si="54"/>
        <v>-0.10054307543019322</v>
      </c>
      <c r="U106" s="373" t="s">
        <v>388</v>
      </c>
      <c r="V106" s="188"/>
    </row>
    <row r="107" spans="1:22" s="59" customFormat="1" ht="15.75">
      <c r="A107" s="64"/>
      <c r="B107" s="283" t="s">
        <v>151</v>
      </c>
      <c r="C107" s="205" t="s">
        <v>36</v>
      </c>
      <c r="D107" s="214" t="s">
        <v>156</v>
      </c>
      <c r="E107" s="177">
        <f t="shared" si="47"/>
        <v>575.53428571428572</v>
      </c>
      <c r="F107" s="258">
        <v>3.5</v>
      </c>
      <c r="G107" s="261">
        <v>2014.37</v>
      </c>
      <c r="H107" s="258"/>
      <c r="I107" s="261"/>
      <c r="J107" s="387">
        <f t="shared" si="56"/>
        <v>557.69391304347835</v>
      </c>
      <c r="K107" s="396">
        <v>2.2999999999999998</v>
      </c>
      <c r="L107" s="402">
        <f>(953.3088+585.9264)/1.2</f>
        <v>1282.6960000000001</v>
      </c>
      <c r="M107" s="396">
        <v>2.2999999999999998</v>
      </c>
      <c r="N107" s="402">
        <f>(953.3088+585.9264)/1.2</f>
        <v>1282.6960000000001</v>
      </c>
      <c r="O107" s="446"/>
      <c r="P107" s="446"/>
      <c r="Q107" s="233">
        <f t="shared" si="52"/>
        <v>-2.2999999999999998</v>
      </c>
      <c r="R107" s="85">
        <f t="shared" si="53"/>
        <v>-1282.6960000000001</v>
      </c>
      <c r="S107" s="86">
        <f t="shared" si="38"/>
        <v>1282.6960000000001</v>
      </c>
      <c r="T107" s="224">
        <f t="shared" si="54"/>
        <v>-3.0997932032261099E-2</v>
      </c>
      <c r="U107" s="282"/>
      <c r="V107" s="186"/>
    </row>
    <row r="108" spans="1:22" s="59" customFormat="1" ht="15.75">
      <c r="A108" s="64"/>
      <c r="B108" s="283" t="s">
        <v>152</v>
      </c>
      <c r="C108" s="205" t="s">
        <v>36</v>
      </c>
      <c r="D108" s="214" t="s">
        <v>156</v>
      </c>
      <c r="E108" s="177">
        <f t="shared" si="47"/>
        <v>450</v>
      </c>
      <c r="F108" s="258">
        <v>2.5000000000000001E-2</v>
      </c>
      <c r="G108" s="261">
        <v>11.25</v>
      </c>
      <c r="H108" s="326"/>
      <c r="I108" s="327"/>
      <c r="J108" s="177"/>
      <c r="K108" s="258"/>
      <c r="L108" s="261"/>
      <c r="M108" s="326"/>
      <c r="N108" s="329"/>
      <c r="O108" s="446"/>
      <c r="P108" s="446"/>
      <c r="Q108" s="233">
        <f t="shared" si="52"/>
        <v>0</v>
      </c>
      <c r="R108" s="85">
        <f t="shared" si="53"/>
        <v>0</v>
      </c>
      <c r="S108" s="86">
        <f t="shared" si="38"/>
        <v>0</v>
      </c>
      <c r="T108" s="224">
        <f t="shared" si="54"/>
        <v>-1</v>
      </c>
      <c r="U108" s="282"/>
      <c r="V108" s="186"/>
    </row>
    <row r="109" spans="1:22" s="59" customFormat="1" ht="31.5">
      <c r="A109" s="64"/>
      <c r="B109" s="283" t="s">
        <v>213</v>
      </c>
      <c r="C109" s="205" t="s">
        <v>37</v>
      </c>
      <c r="D109" s="214" t="s">
        <v>156</v>
      </c>
      <c r="E109" s="177">
        <f t="shared" si="47"/>
        <v>80</v>
      </c>
      <c r="F109" s="260">
        <v>1</v>
      </c>
      <c r="G109" s="261">
        <v>80</v>
      </c>
      <c r="H109" s="164"/>
      <c r="I109" s="173"/>
      <c r="J109" s="177"/>
      <c r="K109" s="260"/>
      <c r="L109" s="261"/>
      <c r="M109" s="258"/>
      <c r="N109" s="261"/>
      <c r="O109" s="446"/>
      <c r="P109" s="446"/>
      <c r="Q109" s="88">
        <f t="shared" si="52"/>
        <v>0</v>
      </c>
      <c r="R109" s="85">
        <f t="shared" si="53"/>
        <v>0</v>
      </c>
      <c r="S109" s="86">
        <f t="shared" si="38"/>
        <v>0</v>
      </c>
      <c r="T109" s="224">
        <f t="shared" si="54"/>
        <v>-1</v>
      </c>
      <c r="U109" s="282"/>
      <c r="V109" s="186"/>
    </row>
    <row r="110" spans="1:22" s="59" customFormat="1" ht="15.75">
      <c r="A110" s="64"/>
      <c r="B110" s="283" t="s">
        <v>214</v>
      </c>
      <c r="C110" s="205" t="s">
        <v>37</v>
      </c>
      <c r="D110" s="214" t="s">
        <v>156</v>
      </c>
      <c r="E110" s="177">
        <f t="shared" si="47"/>
        <v>80</v>
      </c>
      <c r="F110" s="260">
        <v>1</v>
      </c>
      <c r="G110" s="261">
        <v>80</v>
      </c>
      <c r="H110" s="164"/>
      <c r="I110" s="173"/>
      <c r="J110" s="177"/>
      <c r="K110" s="260"/>
      <c r="L110" s="261"/>
      <c r="M110" s="258"/>
      <c r="N110" s="261"/>
      <c r="O110" s="447"/>
      <c r="P110" s="447"/>
      <c r="Q110" s="88">
        <f t="shared" si="52"/>
        <v>0</v>
      </c>
      <c r="R110" s="85">
        <f t="shared" si="53"/>
        <v>0</v>
      </c>
      <c r="S110" s="86">
        <f t="shared" si="38"/>
        <v>0</v>
      </c>
      <c r="T110" s="224">
        <f t="shared" si="54"/>
        <v>-1</v>
      </c>
      <c r="U110" s="282"/>
      <c r="V110" s="186"/>
    </row>
    <row r="111" spans="1:22" s="59" customFormat="1" ht="15.75">
      <c r="A111" s="64"/>
      <c r="B111" s="302" t="s">
        <v>215</v>
      </c>
      <c r="C111" s="293"/>
      <c r="D111" s="293"/>
      <c r="E111" s="177"/>
      <c r="F111" s="261"/>
      <c r="G111" s="296"/>
      <c r="H111" s="176"/>
      <c r="I111" s="173"/>
      <c r="J111" s="175"/>
      <c r="K111" s="261"/>
      <c r="L111" s="264"/>
      <c r="M111" s="261"/>
      <c r="N111" s="261"/>
      <c r="O111" s="281"/>
      <c r="P111" s="281"/>
      <c r="Q111" s="233"/>
      <c r="R111" s="85"/>
      <c r="S111" s="86">
        <f t="shared" si="38"/>
        <v>0</v>
      </c>
      <c r="T111" s="224"/>
      <c r="U111" s="282"/>
      <c r="V111" s="188"/>
    </row>
    <row r="112" spans="1:22" s="245" customFormat="1" ht="15.75">
      <c r="A112" s="241" t="s">
        <v>122</v>
      </c>
      <c r="B112" s="306" t="s">
        <v>216</v>
      </c>
      <c r="C112" s="195" t="s">
        <v>36</v>
      </c>
      <c r="D112" s="273" t="s">
        <v>156</v>
      </c>
      <c r="E112" s="307">
        <f t="shared" si="47"/>
        <v>478.04420951465642</v>
      </c>
      <c r="F112" s="310">
        <f>F113</f>
        <v>2.081</v>
      </c>
      <c r="G112" s="312">
        <f>G113</f>
        <v>994.81</v>
      </c>
      <c r="H112" s="250"/>
      <c r="I112" s="134"/>
      <c r="J112" s="307">
        <f t="shared" ref="J112:J113" si="57">L112/K112</f>
        <v>477.84718885151369</v>
      </c>
      <c r="K112" s="310">
        <f>K113</f>
        <v>2.081</v>
      </c>
      <c r="L112" s="312">
        <f>L113</f>
        <v>994.4</v>
      </c>
      <c r="M112" s="310">
        <f>M113</f>
        <v>2.081</v>
      </c>
      <c r="N112" s="312">
        <f>N113</f>
        <v>994.4</v>
      </c>
      <c r="O112" s="273" t="s">
        <v>156</v>
      </c>
      <c r="P112" s="445" t="s">
        <v>423</v>
      </c>
      <c r="Q112" s="231">
        <f>H112-K112</f>
        <v>-2.081</v>
      </c>
      <c r="R112" s="86">
        <f>I112-L112</f>
        <v>-994.4</v>
      </c>
      <c r="S112" s="86">
        <f t="shared" si="38"/>
        <v>994.4</v>
      </c>
      <c r="T112" s="223">
        <f>(J112-E112)/E112</f>
        <v>-4.1213900141736298E-4</v>
      </c>
      <c r="U112" s="372" t="s">
        <v>387</v>
      </c>
      <c r="V112" s="188"/>
    </row>
    <row r="113" spans="1:22" s="59" customFormat="1" ht="38.25" customHeight="1">
      <c r="A113" s="64"/>
      <c r="B113" s="283" t="s">
        <v>151</v>
      </c>
      <c r="C113" s="205" t="s">
        <v>36</v>
      </c>
      <c r="D113" s="214" t="s">
        <v>156</v>
      </c>
      <c r="E113" s="177">
        <f t="shared" si="47"/>
        <v>478.04420951465642</v>
      </c>
      <c r="F113" s="258">
        <v>2.081</v>
      </c>
      <c r="G113" s="264">
        <v>994.81</v>
      </c>
      <c r="H113" s="164"/>
      <c r="I113" s="173"/>
      <c r="J113" s="387">
        <f t="shared" si="57"/>
        <v>477.84718885151369</v>
      </c>
      <c r="K113" s="396">
        <v>2.081</v>
      </c>
      <c r="L113" s="394">
        <v>994.4</v>
      </c>
      <c r="M113" s="396">
        <v>2.081</v>
      </c>
      <c r="N113" s="402">
        <v>994.4</v>
      </c>
      <c r="O113" s="214" t="s">
        <v>156</v>
      </c>
      <c r="P113" s="447"/>
      <c r="Q113" s="233">
        <f>H113-K113</f>
        <v>-2.081</v>
      </c>
      <c r="R113" s="85">
        <f>I113-L113</f>
        <v>-994.4</v>
      </c>
      <c r="S113" s="86">
        <f t="shared" si="38"/>
        <v>994.4</v>
      </c>
      <c r="T113" s="224">
        <f>(J113-E113)/E113</f>
        <v>-4.1213900141736298E-4</v>
      </c>
      <c r="U113" s="282"/>
      <c r="V113" s="186"/>
    </row>
    <row r="114" spans="1:22" s="59" customFormat="1" ht="15.75">
      <c r="A114" s="64"/>
      <c r="B114" s="302" t="s">
        <v>90</v>
      </c>
      <c r="C114" s="293"/>
      <c r="D114" s="293"/>
      <c r="E114" s="177"/>
      <c r="F114" s="261"/>
      <c r="G114" s="296"/>
      <c r="H114" s="164"/>
      <c r="I114" s="173"/>
      <c r="J114" s="175"/>
      <c r="K114" s="258"/>
      <c r="L114" s="264"/>
      <c r="M114" s="258"/>
      <c r="N114" s="261"/>
      <c r="O114" s="281"/>
      <c r="P114" s="281"/>
      <c r="Q114" s="233"/>
      <c r="R114" s="85"/>
      <c r="S114" s="86">
        <f t="shared" si="38"/>
        <v>0</v>
      </c>
      <c r="T114" s="224"/>
      <c r="U114" s="282"/>
      <c r="V114" s="188"/>
    </row>
    <row r="115" spans="1:22" s="245" customFormat="1" ht="15.75">
      <c r="A115" s="241" t="s">
        <v>123</v>
      </c>
      <c r="B115" s="314" t="s">
        <v>217</v>
      </c>
      <c r="C115" s="195" t="s">
        <v>36</v>
      </c>
      <c r="D115" s="273" t="s">
        <v>156</v>
      </c>
      <c r="E115" s="307">
        <f t="shared" si="47"/>
        <v>670.36100196463656</v>
      </c>
      <c r="F115" s="310">
        <f>F116</f>
        <v>4.0720000000000001</v>
      </c>
      <c r="G115" s="311">
        <f>G116</f>
        <v>2729.71</v>
      </c>
      <c r="H115" s="313"/>
      <c r="I115" s="174"/>
      <c r="J115" s="307">
        <f t="shared" ref="J115:J120" si="58">L115/K115</f>
        <v>651.99331666666671</v>
      </c>
      <c r="K115" s="310">
        <f>K116</f>
        <v>1</v>
      </c>
      <c r="L115" s="311">
        <f>L116</f>
        <v>651.99331666666671</v>
      </c>
      <c r="M115" s="310">
        <f>M116</f>
        <v>1</v>
      </c>
      <c r="N115" s="312">
        <f>N116</f>
        <v>651.99331666666671</v>
      </c>
      <c r="O115" s="273" t="s">
        <v>156</v>
      </c>
      <c r="P115" s="445"/>
      <c r="Q115" s="231">
        <f t="shared" ref="Q115:R120" si="59">H115-K115</f>
        <v>-1</v>
      </c>
      <c r="R115" s="86">
        <f t="shared" si="59"/>
        <v>-651.99331666666671</v>
      </c>
      <c r="S115" s="86">
        <f t="shared" si="38"/>
        <v>651.99331666666671</v>
      </c>
      <c r="T115" s="223">
        <f t="shared" ref="T115:T120" si="60">(J115-E115)/E115</f>
        <v>-2.7399692470384471E-2</v>
      </c>
      <c r="U115" s="373" t="s">
        <v>390</v>
      </c>
      <c r="V115" s="188"/>
    </row>
    <row r="116" spans="1:22" s="59" customFormat="1" ht="15.75">
      <c r="A116" s="64"/>
      <c r="B116" s="283" t="s">
        <v>151</v>
      </c>
      <c r="C116" s="205" t="s">
        <v>36</v>
      </c>
      <c r="D116" s="214" t="s">
        <v>156</v>
      </c>
      <c r="E116" s="177">
        <f t="shared" si="47"/>
        <v>670.36100196463656</v>
      </c>
      <c r="F116" s="258">
        <v>4.0720000000000001</v>
      </c>
      <c r="G116" s="264">
        <v>2729.71</v>
      </c>
      <c r="H116" s="176"/>
      <c r="I116" s="173"/>
      <c r="J116" s="387">
        <f t="shared" si="58"/>
        <v>651.99331666666671</v>
      </c>
      <c r="K116" s="396">
        <v>1</v>
      </c>
      <c r="L116" s="394">
        <f>782.39198/1.2</f>
        <v>651.99331666666671</v>
      </c>
      <c r="M116" s="396">
        <v>1</v>
      </c>
      <c r="N116" s="402">
        <f>782.39198/1.2</f>
        <v>651.99331666666671</v>
      </c>
      <c r="O116" s="214" t="s">
        <v>156</v>
      </c>
      <c r="P116" s="447"/>
      <c r="Q116" s="233">
        <f t="shared" si="59"/>
        <v>-1</v>
      </c>
      <c r="R116" s="85">
        <f t="shared" si="59"/>
        <v>-651.99331666666671</v>
      </c>
      <c r="S116" s="86">
        <f t="shared" si="38"/>
        <v>651.99331666666671</v>
      </c>
      <c r="T116" s="224">
        <f t="shared" si="60"/>
        <v>-2.7399692470384471E-2</v>
      </c>
      <c r="U116" s="282"/>
      <c r="V116" s="186"/>
    </row>
    <row r="117" spans="1:22" s="245" customFormat="1" ht="15.75">
      <c r="A117" s="241" t="s">
        <v>124</v>
      </c>
      <c r="B117" s="314" t="s">
        <v>218</v>
      </c>
      <c r="C117" s="195" t="s">
        <v>36</v>
      </c>
      <c r="D117" s="273" t="s">
        <v>156</v>
      </c>
      <c r="E117" s="307">
        <f t="shared" si="47"/>
        <v>750.79755987347494</v>
      </c>
      <c r="F117" s="310">
        <f>F118</f>
        <v>4.4260000000000002</v>
      </c>
      <c r="G117" s="311">
        <f>G118</f>
        <v>3323.03</v>
      </c>
      <c r="H117" s="313"/>
      <c r="I117" s="174"/>
      <c r="J117" s="307">
        <f t="shared" si="58"/>
        <v>765.40466666666669</v>
      </c>
      <c r="K117" s="310">
        <f>K118</f>
        <v>0.5</v>
      </c>
      <c r="L117" s="311">
        <f>L118</f>
        <v>382.70233333333334</v>
      </c>
      <c r="M117" s="310">
        <f>M118</f>
        <v>0.5</v>
      </c>
      <c r="N117" s="312">
        <f>N118</f>
        <v>382.70233333333334</v>
      </c>
      <c r="O117" s="273" t="s">
        <v>156</v>
      </c>
      <c r="P117" s="445"/>
      <c r="Q117" s="231">
        <f t="shared" si="59"/>
        <v>-0.5</v>
      </c>
      <c r="R117" s="86">
        <f t="shared" si="59"/>
        <v>-382.70233333333334</v>
      </c>
      <c r="S117" s="86">
        <f t="shared" si="38"/>
        <v>382.70233333333334</v>
      </c>
      <c r="T117" s="223">
        <f t="shared" si="60"/>
        <v>1.9455453205859313E-2</v>
      </c>
      <c r="U117" s="373" t="s">
        <v>390</v>
      </c>
      <c r="V117" s="188"/>
    </row>
    <row r="118" spans="1:22" s="59" customFormat="1" ht="15.75">
      <c r="A118" s="64"/>
      <c r="B118" s="283" t="s">
        <v>151</v>
      </c>
      <c r="C118" s="205" t="s">
        <v>36</v>
      </c>
      <c r="D118" s="214" t="s">
        <v>156</v>
      </c>
      <c r="E118" s="177">
        <f t="shared" si="47"/>
        <v>750.79755987347494</v>
      </c>
      <c r="F118" s="258">
        <v>4.4260000000000002</v>
      </c>
      <c r="G118" s="264">
        <v>3323.03</v>
      </c>
      <c r="H118" s="176"/>
      <c r="I118" s="173"/>
      <c r="J118" s="387">
        <f t="shared" si="58"/>
        <v>765.40466666666669</v>
      </c>
      <c r="K118" s="396">
        <v>0.5</v>
      </c>
      <c r="L118" s="394">
        <f>459.2428/1.2</f>
        <v>382.70233333333334</v>
      </c>
      <c r="M118" s="396">
        <v>0.5</v>
      </c>
      <c r="N118" s="402">
        <f>459.2428/1.2</f>
        <v>382.70233333333334</v>
      </c>
      <c r="O118" s="214" t="s">
        <v>156</v>
      </c>
      <c r="P118" s="447"/>
      <c r="Q118" s="233">
        <f t="shared" si="59"/>
        <v>-0.5</v>
      </c>
      <c r="R118" s="85">
        <f t="shared" si="59"/>
        <v>-382.70233333333334</v>
      </c>
      <c r="S118" s="86">
        <f t="shared" si="38"/>
        <v>382.70233333333334</v>
      </c>
      <c r="T118" s="224">
        <f t="shared" si="60"/>
        <v>1.9455453205859313E-2</v>
      </c>
      <c r="U118" s="282"/>
      <c r="V118" s="186"/>
    </row>
    <row r="119" spans="1:22" s="245" customFormat="1" ht="15.75">
      <c r="A119" s="241" t="s">
        <v>125</v>
      </c>
      <c r="B119" s="314" t="s">
        <v>219</v>
      </c>
      <c r="C119" s="195" t="s">
        <v>36</v>
      </c>
      <c r="D119" s="273" t="s">
        <v>156</v>
      </c>
      <c r="E119" s="307">
        <f t="shared" si="47"/>
        <v>1138.8760504201682</v>
      </c>
      <c r="F119" s="310">
        <f>F120</f>
        <v>1.9039999999999999</v>
      </c>
      <c r="G119" s="312">
        <f>G120</f>
        <v>2168.42</v>
      </c>
      <c r="H119" s="313"/>
      <c r="I119" s="174"/>
      <c r="J119" s="307">
        <f t="shared" si="58"/>
        <v>1002.3389333333334</v>
      </c>
      <c r="K119" s="310">
        <f>K120</f>
        <v>0.25</v>
      </c>
      <c r="L119" s="312">
        <f>L120</f>
        <v>250.58473333333336</v>
      </c>
      <c r="M119" s="310">
        <f>M120</f>
        <v>0.25</v>
      </c>
      <c r="N119" s="312">
        <f>N120</f>
        <v>250.58473333333336</v>
      </c>
      <c r="O119" s="273" t="s">
        <v>156</v>
      </c>
      <c r="P119" s="445"/>
      <c r="Q119" s="231">
        <f t="shared" si="59"/>
        <v>-0.25</v>
      </c>
      <c r="R119" s="86">
        <f t="shared" si="59"/>
        <v>-250.58473333333336</v>
      </c>
      <c r="S119" s="86">
        <f t="shared" si="38"/>
        <v>250.58473333333336</v>
      </c>
      <c r="T119" s="223">
        <f t="shared" si="60"/>
        <v>-0.11988760061857637</v>
      </c>
      <c r="U119" s="373" t="s">
        <v>390</v>
      </c>
      <c r="V119" s="188"/>
    </row>
    <row r="120" spans="1:22" s="59" customFormat="1" ht="15.75">
      <c r="A120" s="64"/>
      <c r="B120" s="283" t="s">
        <v>151</v>
      </c>
      <c r="C120" s="205" t="s">
        <v>36</v>
      </c>
      <c r="D120" s="214" t="s">
        <v>156</v>
      </c>
      <c r="E120" s="177">
        <f t="shared" si="47"/>
        <v>1138.8760504201682</v>
      </c>
      <c r="F120" s="258">
        <v>1.9039999999999999</v>
      </c>
      <c r="G120" s="261">
        <v>2168.42</v>
      </c>
      <c r="H120" s="176"/>
      <c r="I120" s="173"/>
      <c r="J120" s="387">
        <f t="shared" si="58"/>
        <v>1002.3389333333334</v>
      </c>
      <c r="K120" s="396">
        <v>0.25</v>
      </c>
      <c r="L120" s="402">
        <f>300.70168/1.2</f>
        <v>250.58473333333336</v>
      </c>
      <c r="M120" s="396">
        <v>0.25</v>
      </c>
      <c r="N120" s="402">
        <f>300.70168/1.2</f>
        <v>250.58473333333336</v>
      </c>
      <c r="O120" s="214" t="s">
        <v>156</v>
      </c>
      <c r="P120" s="447"/>
      <c r="Q120" s="233">
        <f t="shared" si="59"/>
        <v>-0.25</v>
      </c>
      <c r="R120" s="85">
        <f t="shared" si="59"/>
        <v>-250.58473333333336</v>
      </c>
      <c r="S120" s="86">
        <f t="shared" si="38"/>
        <v>250.58473333333336</v>
      </c>
      <c r="T120" s="224">
        <f t="shared" si="60"/>
        <v>-0.11988760061857637</v>
      </c>
      <c r="U120" s="282"/>
      <c r="V120" s="186"/>
    </row>
    <row r="121" spans="1:22" s="59" customFormat="1" ht="15.75">
      <c r="A121" s="64"/>
      <c r="B121" s="302" t="s">
        <v>91</v>
      </c>
      <c r="C121" s="293"/>
      <c r="D121" s="293"/>
      <c r="E121" s="177"/>
      <c r="F121" s="261"/>
      <c r="G121" s="296"/>
      <c r="H121" s="176"/>
      <c r="I121" s="173"/>
      <c r="J121" s="175"/>
      <c r="K121" s="260"/>
      <c r="L121" s="264"/>
      <c r="M121" s="260"/>
      <c r="N121" s="261"/>
      <c r="O121" s="281"/>
      <c r="P121" s="281"/>
      <c r="Q121" s="233"/>
      <c r="R121" s="85"/>
      <c r="S121" s="86">
        <f t="shared" si="38"/>
        <v>0</v>
      </c>
      <c r="T121" s="224"/>
      <c r="U121" s="282"/>
      <c r="V121" s="188"/>
    </row>
    <row r="122" spans="1:22" s="245" customFormat="1" ht="15.75">
      <c r="A122" s="241" t="s">
        <v>126</v>
      </c>
      <c r="B122" s="317" t="s">
        <v>220</v>
      </c>
      <c r="C122" s="195" t="s">
        <v>36</v>
      </c>
      <c r="D122" s="273" t="s">
        <v>156</v>
      </c>
      <c r="E122" s="307">
        <f t="shared" ref="E122:E152" si="61">G122/F122</f>
        <v>381.90840685002593</v>
      </c>
      <c r="F122" s="310">
        <f>SUM(F123:F124)</f>
        <v>7.7080000000000002</v>
      </c>
      <c r="G122" s="311">
        <f>SUM(G123:G126)</f>
        <v>2943.75</v>
      </c>
      <c r="H122" s="313"/>
      <c r="I122" s="174"/>
      <c r="J122" s="307">
        <f t="shared" ref="J122:J124" si="62">L122/K122</f>
        <v>413.67866815627332</v>
      </c>
      <c r="K122" s="310">
        <f>SUM(K123:K124)</f>
        <v>4.923</v>
      </c>
      <c r="L122" s="311">
        <f>SUM(L123:L126)</f>
        <v>2036.5400833333335</v>
      </c>
      <c r="M122" s="310">
        <f>SUM(M123:M124)</f>
        <v>4.923</v>
      </c>
      <c r="N122" s="312">
        <f>SUM(N123:N126)</f>
        <v>1879.1666666666665</v>
      </c>
      <c r="O122" s="281"/>
      <c r="P122" s="281"/>
      <c r="Q122" s="231">
        <f t="shared" ref="Q122:Q138" si="63">H122-K122</f>
        <v>-4.923</v>
      </c>
      <c r="R122" s="86">
        <f t="shared" ref="R122:R138" si="64">I122-L122</f>
        <v>-2036.5400833333335</v>
      </c>
      <c r="S122" s="86">
        <f t="shared" si="38"/>
        <v>2036.5400833333335</v>
      </c>
      <c r="T122" s="223">
        <f t="shared" ref="T122:T138" si="65">(J122-E122)/E122</f>
        <v>8.3188169562141798E-2</v>
      </c>
      <c r="U122" s="373" t="s">
        <v>391</v>
      </c>
      <c r="V122" s="188"/>
    </row>
    <row r="123" spans="1:22" s="59" customFormat="1" ht="15.75">
      <c r="A123" s="64"/>
      <c r="B123" s="289" t="s">
        <v>151</v>
      </c>
      <c r="C123" s="205" t="s">
        <v>36</v>
      </c>
      <c r="D123" s="214" t="s">
        <v>156</v>
      </c>
      <c r="E123" s="177">
        <f t="shared" si="61"/>
        <v>418.29865361077111</v>
      </c>
      <c r="F123" s="258">
        <v>4.085</v>
      </c>
      <c r="G123" s="264">
        <v>1708.75</v>
      </c>
      <c r="H123" s="176"/>
      <c r="I123" s="173"/>
      <c r="J123" s="387">
        <f t="shared" si="62"/>
        <v>548.07692307692309</v>
      </c>
      <c r="K123" s="396">
        <v>1.3</v>
      </c>
      <c r="L123" s="394">
        <f>855/1.2</f>
        <v>712.5</v>
      </c>
      <c r="M123" s="396">
        <v>1.3</v>
      </c>
      <c r="N123" s="402">
        <f>666.1519/1.2</f>
        <v>555.12658333333331</v>
      </c>
      <c r="O123" s="445"/>
      <c r="P123" s="445"/>
      <c r="Q123" s="233">
        <f t="shared" si="63"/>
        <v>-1.3</v>
      </c>
      <c r="R123" s="85">
        <f t="shared" si="64"/>
        <v>-712.5</v>
      </c>
      <c r="S123" s="86">
        <f t="shared" si="38"/>
        <v>712.5</v>
      </c>
      <c r="T123" s="224">
        <f t="shared" si="65"/>
        <v>0.31025265882617753</v>
      </c>
      <c r="U123" s="282"/>
      <c r="V123" s="188"/>
    </row>
    <row r="124" spans="1:22" s="59" customFormat="1" ht="15.75">
      <c r="A124" s="64"/>
      <c r="B124" s="289" t="s">
        <v>152</v>
      </c>
      <c r="C124" s="205" t="s">
        <v>36</v>
      </c>
      <c r="D124" s="214" t="s">
        <v>156</v>
      </c>
      <c r="E124" s="177">
        <f t="shared" si="61"/>
        <v>256.69334805409881</v>
      </c>
      <c r="F124" s="258">
        <v>3.6230000000000002</v>
      </c>
      <c r="G124" s="264">
        <v>930</v>
      </c>
      <c r="H124" s="176"/>
      <c r="I124" s="173"/>
      <c r="J124" s="387">
        <f t="shared" si="62"/>
        <v>365.45406661146382</v>
      </c>
      <c r="K124" s="396">
        <v>3.6230000000000002</v>
      </c>
      <c r="L124" s="394">
        <f>(900+688.8481)/1.2</f>
        <v>1324.0400833333335</v>
      </c>
      <c r="M124" s="396">
        <v>3.6230000000000002</v>
      </c>
      <c r="N124" s="402">
        <f>1588.8481/1.2</f>
        <v>1324.0400833333333</v>
      </c>
      <c r="O124" s="446"/>
      <c r="P124" s="446"/>
      <c r="Q124" s="233">
        <f t="shared" si="63"/>
        <v>-3.6230000000000002</v>
      </c>
      <c r="R124" s="85">
        <f t="shared" si="64"/>
        <v>-1324.0400833333335</v>
      </c>
      <c r="S124" s="86">
        <f t="shared" si="38"/>
        <v>1324.0400833333335</v>
      </c>
      <c r="T124" s="224">
        <f t="shared" si="65"/>
        <v>0.4236990143369177</v>
      </c>
      <c r="U124" s="282"/>
      <c r="V124" s="188"/>
    </row>
    <row r="125" spans="1:22" s="59" customFormat="1" ht="15.75">
      <c r="A125" s="64"/>
      <c r="B125" s="289" t="s">
        <v>175</v>
      </c>
      <c r="C125" s="205" t="s">
        <v>37</v>
      </c>
      <c r="D125" s="214" t="s">
        <v>156</v>
      </c>
      <c r="E125" s="177">
        <f t="shared" si="61"/>
        <v>65</v>
      </c>
      <c r="F125" s="260">
        <v>4</v>
      </c>
      <c r="G125" s="264">
        <v>260</v>
      </c>
      <c r="H125" s="176"/>
      <c r="I125" s="173"/>
      <c r="J125" s="177"/>
      <c r="K125" s="260"/>
      <c r="L125" s="264"/>
      <c r="M125" s="260"/>
      <c r="N125" s="261"/>
      <c r="O125" s="446"/>
      <c r="P125" s="446"/>
      <c r="Q125" s="88">
        <f t="shared" si="63"/>
        <v>0</v>
      </c>
      <c r="R125" s="85">
        <f t="shared" si="64"/>
        <v>0</v>
      </c>
      <c r="S125" s="86">
        <f t="shared" si="38"/>
        <v>0</v>
      </c>
      <c r="T125" s="224">
        <f t="shared" si="65"/>
        <v>-1</v>
      </c>
      <c r="U125" s="282"/>
      <c r="V125" s="188"/>
    </row>
    <row r="126" spans="1:22" s="59" customFormat="1" ht="31.5">
      <c r="A126" s="64"/>
      <c r="B126" s="289" t="s">
        <v>221</v>
      </c>
      <c r="C126" s="205" t="s">
        <v>37</v>
      </c>
      <c r="D126" s="214" t="s">
        <v>156</v>
      </c>
      <c r="E126" s="177">
        <f t="shared" si="61"/>
        <v>45</v>
      </c>
      <c r="F126" s="260">
        <v>1</v>
      </c>
      <c r="G126" s="264">
        <v>45</v>
      </c>
      <c r="H126" s="176"/>
      <c r="I126" s="173"/>
      <c r="J126" s="177"/>
      <c r="K126" s="260"/>
      <c r="L126" s="264"/>
      <c r="M126" s="260"/>
      <c r="N126" s="261"/>
      <c r="O126" s="447"/>
      <c r="P126" s="447"/>
      <c r="Q126" s="88">
        <f t="shared" si="63"/>
        <v>0</v>
      </c>
      <c r="R126" s="85">
        <f t="shared" si="64"/>
        <v>0</v>
      </c>
      <c r="S126" s="86">
        <f t="shared" si="38"/>
        <v>0</v>
      </c>
      <c r="T126" s="224">
        <f t="shared" si="65"/>
        <v>-1</v>
      </c>
      <c r="U126" s="282"/>
      <c r="V126" s="188"/>
    </row>
    <row r="127" spans="1:22" s="245" customFormat="1" ht="15.75" customHeight="1">
      <c r="A127" s="241" t="s">
        <v>239</v>
      </c>
      <c r="B127" s="330" t="s">
        <v>222</v>
      </c>
      <c r="C127" s="195" t="s">
        <v>36</v>
      </c>
      <c r="D127" s="273" t="s">
        <v>72</v>
      </c>
      <c r="E127" s="307">
        <f t="shared" si="61"/>
        <v>742.70020839535573</v>
      </c>
      <c r="F127" s="310">
        <f>F128</f>
        <v>3.359</v>
      </c>
      <c r="G127" s="312">
        <f>G128</f>
        <v>2494.73</v>
      </c>
      <c r="H127" s="310">
        <f>H128</f>
        <v>3.359</v>
      </c>
      <c r="I127" s="312">
        <f>I128</f>
        <v>2494.73</v>
      </c>
      <c r="J127" s="307">
        <f t="shared" ref="J127:J135" si="66">L127/K127</f>
        <v>738.72751116403697</v>
      </c>
      <c r="K127" s="310">
        <f>K128</f>
        <v>3.359</v>
      </c>
      <c r="L127" s="310">
        <f>L128</f>
        <v>2481.38571</v>
      </c>
      <c r="M127" s="310">
        <f>M128</f>
        <v>3.359</v>
      </c>
      <c r="N127" s="312">
        <f>N128</f>
        <v>2481.38571</v>
      </c>
      <c r="O127" s="273" t="s">
        <v>72</v>
      </c>
      <c r="P127" s="445" t="s">
        <v>407</v>
      </c>
      <c r="Q127" s="231">
        <f t="shared" si="63"/>
        <v>0</v>
      </c>
      <c r="R127" s="86">
        <f t="shared" si="64"/>
        <v>13.344290000000001</v>
      </c>
      <c r="S127" s="86">
        <f t="shared" si="38"/>
        <v>-13.344290000000001</v>
      </c>
      <c r="T127" s="223">
        <f t="shared" si="65"/>
        <v>-5.3489916744496281E-3</v>
      </c>
      <c r="U127" s="373" t="s">
        <v>391</v>
      </c>
      <c r="V127" s="188"/>
    </row>
    <row r="128" spans="1:22" s="59" customFormat="1" ht="33" customHeight="1">
      <c r="A128" s="64"/>
      <c r="B128" s="289" t="s">
        <v>151</v>
      </c>
      <c r="C128" s="205" t="s">
        <v>36</v>
      </c>
      <c r="D128" s="214" t="s">
        <v>72</v>
      </c>
      <c r="E128" s="177">
        <f t="shared" si="61"/>
        <v>742.70020839535573</v>
      </c>
      <c r="F128" s="258">
        <v>3.359</v>
      </c>
      <c r="G128" s="261">
        <v>2494.73</v>
      </c>
      <c r="H128" s="164">
        <f t="shared" ref="H128" si="67">F128</f>
        <v>3.359</v>
      </c>
      <c r="I128" s="173">
        <f t="shared" ref="I128" si="68">G128</f>
        <v>2494.73</v>
      </c>
      <c r="J128" s="387">
        <f t="shared" si="66"/>
        <v>738.72751116403697</v>
      </c>
      <c r="K128" s="396">
        <v>3.359</v>
      </c>
      <c r="L128" s="402">
        <f>1488.834+992.55171</f>
        <v>2481.38571</v>
      </c>
      <c r="M128" s="396">
        <v>3.359</v>
      </c>
      <c r="N128" s="402">
        <f>1488.834+992.55171</f>
        <v>2481.38571</v>
      </c>
      <c r="O128" s="214" t="s">
        <v>72</v>
      </c>
      <c r="P128" s="447"/>
      <c r="Q128" s="233">
        <f t="shared" si="63"/>
        <v>0</v>
      </c>
      <c r="R128" s="85">
        <f t="shared" si="64"/>
        <v>13.344290000000001</v>
      </c>
      <c r="S128" s="86">
        <f t="shared" si="38"/>
        <v>-13.344290000000001</v>
      </c>
      <c r="T128" s="224">
        <f t="shared" si="65"/>
        <v>-5.3489916744496281E-3</v>
      </c>
      <c r="U128" s="282"/>
      <c r="V128" s="188"/>
    </row>
    <row r="129" spans="1:22" s="245" customFormat="1" ht="15.75">
      <c r="A129" s="241" t="s">
        <v>240</v>
      </c>
      <c r="B129" s="330" t="s">
        <v>223</v>
      </c>
      <c r="C129" s="195" t="s">
        <v>36</v>
      </c>
      <c r="D129" s="273" t="s">
        <v>156</v>
      </c>
      <c r="E129" s="307">
        <f t="shared" si="61"/>
        <v>745.98102466793182</v>
      </c>
      <c r="F129" s="310">
        <f>SUM(F130:F131)</f>
        <v>2.6349999999999998</v>
      </c>
      <c r="G129" s="311">
        <f>SUM(G130:G133)</f>
        <v>1965.66</v>
      </c>
      <c r="H129" s="243"/>
      <c r="I129" s="174"/>
      <c r="J129" s="307">
        <f t="shared" si="66"/>
        <v>733.70495256166987</v>
      </c>
      <c r="K129" s="310">
        <f>SUM(K130:K131)</f>
        <v>2.6349999999999998</v>
      </c>
      <c r="L129" s="311">
        <f>SUM(L130:L133)</f>
        <v>1933.3125500000001</v>
      </c>
      <c r="M129" s="310">
        <f>SUM(M130:M131)</f>
        <v>2.6349999999999998</v>
      </c>
      <c r="N129" s="312">
        <f>SUM(N130:N133)</f>
        <v>1933.3125500000001</v>
      </c>
      <c r="O129" s="273" t="s">
        <v>156</v>
      </c>
      <c r="P129" s="445"/>
      <c r="Q129" s="231">
        <f t="shared" si="63"/>
        <v>-2.6349999999999998</v>
      </c>
      <c r="R129" s="86">
        <f t="shared" si="64"/>
        <v>-1933.3125500000001</v>
      </c>
      <c r="S129" s="86">
        <f t="shared" si="38"/>
        <v>1933.3125500000001</v>
      </c>
      <c r="T129" s="223">
        <f t="shared" si="65"/>
        <v>-1.6456279315853316E-2</v>
      </c>
      <c r="U129" s="373" t="s">
        <v>392</v>
      </c>
      <c r="V129" s="188"/>
    </row>
    <row r="130" spans="1:22" s="59" customFormat="1" ht="15.75">
      <c r="A130" s="64"/>
      <c r="B130" s="289" t="s">
        <v>151</v>
      </c>
      <c r="C130" s="205" t="s">
        <v>36</v>
      </c>
      <c r="D130" s="214" t="s">
        <v>156</v>
      </c>
      <c r="E130" s="177">
        <f t="shared" si="61"/>
        <v>686.51659671880964</v>
      </c>
      <c r="F130" s="258">
        <v>2.621</v>
      </c>
      <c r="G130" s="264">
        <v>1799.3600000000001</v>
      </c>
      <c r="H130" s="176"/>
      <c r="I130" s="173"/>
      <c r="J130" s="387">
        <f t="shared" si="66"/>
        <v>617.71406269871557</v>
      </c>
      <c r="K130" s="396">
        <v>2.621</v>
      </c>
      <c r="L130" s="394">
        <f>(828.48577+345.9393+729.52442+38.88478)/1.2</f>
        <v>1619.0285583333334</v>
      </c>
      <c r="M130" s="396">
        <v>2.621</v>
      </c>
      <c r="N130" s="402">
        <f>(828.48577+345.9393+729.52442+38.88478)/1.2</f>
        <v>1619.0285583333334</v>
      </c>
      <c r="O130" s="214" t="s">
        <v>156</v>
      </c>
      <c r="P130" s="446"/>
      <c r="Q130" s="233">
        <f t="shared" si="63"/>
        <v>-2.621</v>
      </c>
      <c r="R130" s="85">
        <f t="shared" si="64"/>
        <v>-1619.0285583333334</v>
      </c>
      <c r="S130" s="86">
        <f t="shared" si="38"/>
        <v>1619.0285583333334</v>
      </c>
      <c r="T130" s="224">
        <f t="shared" si="65"/>
        <v>-0.10021976795453193</v>
      </c>
      <c r="U130" s="282"/>
      <c r="V130" s="188"/>
    </row>
    <row r="131" spans="1:22" s="59" customFormat="1" ht="15.75">
      <c r="A131" s="64"/>
      <c r="B131" s="289" t="s">
        <v>152</v>
      </c>
      <c r="C131" s="205" t="s">
        <v>36</v>
      </c>
      <c r="D131" s="214" t="s">
        <v>156</v>
      </c>
      <c r="E131" s="177">
        <f t="shared" si="61"/>
        <v>450</v>
      </c>
      <c r="F131" s="258">
        <v>1.4E-2</v>
      </c>
      <c r="G131" s="264">
        <v>6.3</v>
      </c>
      <c r="H131" s="176"/>
      <c r="I131" s="173"/>
      <c r="J131" s="387">
        <f t="shared" si="66"/>
        <v>43.468452380952378</v>
      </c>
      <c r="K131" s="396">
        <v>1.4E-2</v>
      </c>
      <c r="L131" s="394">
        <f>0.73027/1.2</f>
        <v>0.60855833333333331</v>
      </c>
      <c r="M131" s="396">
        <v>1.4E-2</v>
      </c>
      <c r="N131" s="402">
        <f>0.73027/1.2</f>
        <v>0.60855833333333331</v>
      </c>
      <c r="O131" s="214" t="s">
        <v>156</v>
      </c>
      <c r="P131" s="446"/>
      <c r="Q131" s="233">
        <f t="shared" si="63"/>
        <v>-1.4E-2</v>
      </c>
      <c r="R131" s="85">
        <f t="shared" si="64"/>
        <v>-0.60855833333333331</v>
      </c>
      <c r="S131" s="86">
        <f t="shared" si="38"/>
        <v>0.60855833333333331</v>
      </c>
      <c r="T131" s="224">
        <f t="shared" si="65"/>
        <v>-0.90340343915343913</v>
      </c>
      <c r="U131" s="282"/>
      <c r="V131" s="188"/>
    </row>
    <row r="132" spans="1:22" s="59" customFormat="1" ht="31.5">
      <c r="A132" s="64"/>
      <c r="B132" s="289" t="s">
        <v>224</v>
      </c>
      <c r="C132" s="205" t="s">
        <v>37</v>
      </c>
      <c r="D132" s="214" t="s">
        <v>156</v>
      </c>
      <c r="E132" s="177">
        <f t="shared" si="61"/>
        <v>80</v>
      </c>
      <c r="F132" s="260">
        <v>1</v>
      </c>
      <c r="G132" s="264">
        <v>80</v>
      </c>
      <c r="H132" s="176"/>
      <c r="I132" s="173"/>
      <c r="J132" s="387">
        <f t="shared" si="66"/>
        <v>175.116975</v>
      </c>
      <c r="K132" s="393">
        <v>1</v>
      </c>
      <c r="L132" s="394">
        <f>210.14037/1.2</f>
        <v>175.116975</v>
      </c>
      <c r="M132" s="393">
        <v>1</v>
      </c>
      <c r="N132" s="402">
        <f>210.14037/1.2</f>
        <v>175.116975</v>
      </c>
      <c r="O132" s="214" t="s">
        <v>156</v>
      </c>
      <c r="P132" s="446"/>
      <c r="Q132" s="88">
        <f t="shared" si="63"/>
        <v>-1</v>
      </c>
      <c r="R132" s="85">
        <f t="shared" si="64"/>
        <v>-175.116975</v>
      </c>
      <c r="S132" s="86">
        <f t="shared" si="38"/>
        <v>175.116975</v>
      </c>
      <c r="T132" s="224">
        <f t="shared" si="65"/>
        <v>1.1889621875</v>
      </c>
      <c r="U132" s="282"/>
      <c r="V132" s="188"/>
    </row>
    <row r="133" spans="1:22" s="59" customFormat="1" ht="31.5">
      <c r="A133" s="64"/>
      <c r="B133" s="289" t="s">
        <v>225</v>
      </c>
      <c r="C133" s="205" t="s">
        <v>37</v>
      </c>
      <c r="D133" s="214" t="s">
        <v>156</v>
      </c>
      <c r="E133" s="177">
        <f t="shared" si="61"/>
        <v>80</v>
      </c>
      <c r="F133" s="260">
        <v>1</v>
      </c>
      <c r="G133" s="264">
        <v>80</v>
      </c>
      <c r="H133" s="176"/>
      <c r="I133" s="173"/>
      <c r="J133" s="387">
        <f t="shared" si="66"/>
        <v>138.55845833333333</v>
      </c>
      <c r="K133" s="393">
        <v>1</v>
      </c>
      <c r="L133" s="394">
        <f>166.27015/1.2</f>
        <v>138.55845833333333</v>
      </c>
      <c r="M133" s="393">
        <v>1</v>
      </c>
      <c r="N133" s="402">
        <f>166.27015/1.2</f>
        <v>138.55845833333333</v>
      </c>
      <c r="O133" s="214" t="s">
        <v>156</v>
      </c>
      <c r="P133" s="447"/>
      <c r="Q133" s="88">
        <f t="shared" si="63"/>
        <v>-1</v>
      </c>
      <c r="R133" s="85">
        <f t="shared" si="64"/>
        <v>-138.55845833333333</v>
      </c>
      <c r="S133" s="86">
        <f t="shared" si="38"/>
        <v>138.55845833333333</v>
      </c>
      <c r="T133" s="224">
        <f t="shared" si="65"/>
        <v>0.73198072916666668</v>
      </c>
      <c r="U133" s="282"/>
      <c r="V133" s="188"/>
    </row>
    <row r="134" spans="1:22" s="245" customFormat="1" ht="15.75">
      <c r="A134" s="241" t="s">
        <v>241</v>
      </c>
      <c r="B134" s="330" t="s">
        <v>226</v>
      </c>
      <c r="C134" s="195" t="s">
        <v>36</v>
      </c>
      <c r="D134" s="273" t="s">
        <v>156</v>
      </c>
      <c r="E134" s="307">
        <f t="shared" si="61"/>
        <v>507.93006336540714</v>
      </c>
      <c r="F134" s="310">
        <f>SUM(F135:F136)</f>
        <v>4.2610000000000001</v>
      </c>
      <c r="G134" s="312">
        <f>SUM(G135:G138)</f>
        <v>2164.29</v>
      </c>
      <c r="H134" s="313"/>
      <c r="I134" s="174"/>
      <c r="J134" s="307">
        <f t="shared" si="66"/>
        <v>508.21186904761907</v>
      </c>
      <c r="K134" s="310">
        <f>SUM(K135:K136)</f>
        <v>1.4</v>
      </c>
      <c r="L134" s="312">
        <f>SUM(L135:L138)</f>
        <v>711.49661666666668</v>
      </c>
      <c r="M134" s="310">
        <f>SUM(M135:M136)</f>
        <v>1.4</v>
      </c>
      <c r="N134" s="312">
        <f>SUM(N135:N138)</f>
        <v>711.49661666666668</v>
      </c>
      <c r="O134" s="445"/>
      <c r="P134" s="445"/>
      <c r="Q134" s="231">
        <f t="shared" si="63"/>
        <v>-1.4</v>
      </c>
      <c r="R134" s="86">
        <f t="shared" si="64"/>
        <v>-711.49661666666668</v>
      </c>
      <c r="S134" s="86">
        <f t="shared" si="38"/>
        <v>711.49661666666668</v>
      </c>
      <c r="T134" s="223">
        <f t="shared" si="65"/>
        <v>5.5481197617004714E-4</v>
      </c>
      <c r="U134" s="373" t="s">
        <v>392</v>
      </c>
      <c r="V134" s="188"/>
    </row>
    <row r="135" spans="1:22" s="59" customFormat="1" ht="15.75">
      <c r="A135" s="64"/>
      <c r="B135" s="289" t="s">
        <v>151</v>
      </c>
      <c r="C135" s="205" t="s">
        <v>36</v>
      </c>
      <c r="D135" s="214" t="s">
        <v>156</v>
      </c>
      <c r="E135" s="177">
        <f t="shared" si="61"/>
        <v>476.54034229828852</v>
      </c>
      <c r="F135" s="258">
        <v>3.2719999999999998</v>
      </c>
      <c r="G135" s="261">
        <v>1559.24</v>
      </c>
      <c r="H135" s="176"/>
      <c r="I135" s="173"/>
      <c r="J135" s="387">
        <f t="shared" si="66"/>
        <v>508.21186904761907</v>
      </c>
      <c r="K135" s="396">
        <v>1.4</v>
      </c>
      <c r="L135" s="402">
        <f>853.79594/1.2</f>
        <v>711.49661666666668</v>
      </c>
      <c r="M135" s="396">
        <v>1.4</v>
      </c>
      <c r="N135" s="402">
        <f>853.79594/1.2</f>
        <v>711.49661666666668</v>
      </c>
      <c r="O135" s="446"/>
      <c r="P135" s="446"/>
      <c r="Q135" s="233">
        <f t="shared" si="63"/>
        <v>-1.4</v>
      </c>
      <c r="R135" s="85">
        <f t="shared" si="64"/>
        <v>-711.49661666666668</v>
      </c>
      <c r="S135" s="86">
        <f t="shared" si="38"/>
        <v>711.49661666666668</v>
      </c>
      <c r="T135" s="224">
        <f t="shared" si="65"/>
        <v>6.6461375749602092E-2</v>
      </c>
      <c r="U135" s="282"/>
      <c r="V135" s="188"/>
    </row>
    <row r="136" spans="1:22" s="59" customFormat="1" ht="15.75">
      <c r="A136" s="64"/>
      <c r="B136" s="289" t="s">
        <v>227</v>
      </c>
      <c r="C136" s="205" t="s">
        <v>36</v>
      </c>
      <c r="D136" s="214" t="s">
        <v>156</v>
      </c>
      <c r="E136" s="177">
        <f t="shared" si="61"/>
        <v>450</v>
      </c>
      <c r="F136" s="258">
        <v>0.98899999999999999</v>
      </c>
      <c r="G136" s="261">
        <v>445.05</v>
      </c>
      <c r="H136" s="176"/>
      <c r="I136" s="173"/>
      <c r="J136" s="387"/>
      <c r="K136" s="396"/>
      <c r="L136" s="402"/>
      <c r="M136" s="260"/>
      <c r="N136" s="261"/>
      <c r="O136" s="446"/>
      <c r="P136" s="446"/>
      <c r="Q136" s="233">
        <f t="shared" si="63"/>
        <v>0</v>
      </c>
      <c r="R136" s="85">
        <f t="shared" si="64"/>
        <v>0</v>
      </c>
      <c r="S136" s="86">
        <f t="shared" si="38"/>
        <v>0</v>
      </c>
      <c r="T136" s="224">
        <f t="shared" si="65"/>
        <v>-1</v>
      </c>
      <c r="U136" s="282"/>
      <c r="V136" s="188"/>
    </row>
    <row r="137" spans="1:22" s="59" customFormat="1" ht="15.75">
      <c r="A137" s="64"/>
      <c r="B137" s="289" t="s">
        <v>175</v>
      </c>
      <c r="C137" s="205" t="s">
        <v>37</v>
      </c>
      <c r="D137" s="214" t="s">
        <v>156</v>
      </c>
      <c r="E137" s="177">
        <f t="shared" si="61"/>
        <v>80</v>
      </c>
      <c r="F137" s="260">
        <v>1</v>
      </c>
      <c r="G137" s="261">
        <v>80</v>
      </c>
      <c r="H137" s="176"/>
      <c r="I137" s="173"/>
      <c r="J137" s="387"/>
      <c r="K137" s="393"/>
      <c r="L137" s="402"/>
      <c r="M137" s="260"/>
      <c r="N137" s="261"/>
      <c r="O137" s="446"/>
      <c r="P137" s="446"/>
      <c r="Q137" s="88">
        <f t="shared" si="63"/>
        <v>0</v>
      </c>
      <c r="R137" s="85">
        <f t="shared" si="64"/>
        <v>0</v>
      </c>
      <c r="S137" s="86">
        <f t="shared" ref="S137:S200" si="69">L137-I137</f>
        <v>0</v>
      </c>
      <c r="T137" s="224">
        <f t="shared" si="65"/>
        <v>-1</v>
      </c>
      <c r="U137" s="282"/>
      <c r="V137" s="188"/>
    </row>
    <row r="138" spans="1:22" s="59" customFormat="1" ht="31.5">
      <c r="A138" s="64"/>
      <c r="B138" s="289" t="s">
        <v>228</v>
      </c>
      <c r="C138" s="205" t="s">
        <v>37</v>
      </c>
      <c r="D138" s="214" t="s">
        <v>156</v>
      </c>
      <c r="E138" s="177">
        <f t="shared" si="61"/>
        <v>80</v>
      </c>
      <c r="F138" s="288">
        <v>1</v>
      </c>
      <c r="G138" s="261">
        <v>80</v>
      </c>
      <c r="H138" s="176"/>
      <c r="I138" s="173"/>
      <c r="J138" s="387"/>
      <c r="K138" s="410"/>
      <c r="L138" s="402"/>
      <c r="M138" s="260"/>
      <c r="N138" s="261"/>
      <c r="O138" s="447"/>
      <c r="P138" s="447"/>
      <c r="Q138" s="88">
        <f t="shared" si="63"/>
        <v>0</v>
      </c>
      <c r="R138" s="85">
        <f t="shared" si="64"/>
        <v>0</v>
      </c>
      <c r="S138" s="86">
        <f t="shared" si="69"/>
        <v>0</v>
      </c>
      <c r="T138" s="224">
        <f t="shared" si="65"/>
        <v>-1</v>
      </c>
      <c r="U138" s="282"/>
      <c r="V138" s="188"/>
    </row>
    <row r="139" spans="1:22" s="59" customFormat="1" ht="15.75">
      <c r="A139" s="64"/>
      <c r="B139" s="302" t="s">
        <v>229</v>
      </c>
      <c r="C139" s="293"/>
      <c r="D139" s="293"/>
      <c r="E139" s="177"/>
      <c r="F139" s="261"/>
      <c r="G139" s="296"/>
      <c r="H139" s="176"/>
      <c r="I139" s="173"/>
      <c r="J139" s="175"/>
      <c r="K139" s="260"/>
      <c r="L139" s="264"/>
      <c r="M139" s="260"/>
      <c r="N139" s="261"/>
      <c r="O139" s="281"/>
      <c r="P139" s="281"/>
      <c r="Q139" s="233"/>
      <c r="R139" s="85"/>
      <c r="S139" s="86">
        <f t="shared" si="69"/>
        <v>0</v>
      </c>
      <c r="T139" s="224"/>
      <c r="U139" s="282"/>
      <c r="V139" s="188"/>
    </row>
    <row r="140" spans="1:22" s="245" customFormat="1" ht="38.25">
      <c r="A140" s="241" t="s">
        <v>242</v>
      </c>
      <c r="B140" s="306" t="s">
        <v>230</v>
      </c>
      <c r="C140" s="195" t="s">
        <v>36</v>
      </c>
      <c r="D140" s="273" t="s">
        <v>156</v>
      </c>
      <c r="E140" s="307">
        <f t="shared" si="61"/>
        <v>610.47457627118638</v>
      </c>
      <c r="F140" s="310">
        <f>SUM(F141:F142)</f>
        <v>1.1800000000000002</v>
      </c>
      <c r="G140" s="311">
        <f>SUM(G141:G143)</f>
        <v>720.36</v>
      </c>
      <c r="H140" s="313"/>
      <c r="I140" s="174"/>
      <c r="J140" s="307">
        <f t="shared" ref="J140:J143" si="70">L140/K140</f>
        <v>607.56864406779641</v>
      </c>
      <c r="K140" s="310">
        <f>SUM(K141:K142)</f>
        <v>1.1800000000000002</v>
      </c>
      <c r="L140" s="311">
        <f>SUM(L141:L143)</f>
        <v>716.93099999999993</v>
      </c>
      <c r="M140" s="310">
        <f>SUM(M141:M142)</f>
        <v>1.1800000000000002</v>
      </c>
      <c r="N140" s="312">
        <f>SUM(N141:N143)</f>
        <v>716.93099999999993</v>
      </c>
      <c r="O140" s="273" t="s">
        <v>156</v>
      </c>
      <c r="P140" s="445" t="s">
        <v>424</v>
      </c>
      <c r="Q140" s="231">
        <f t="shared" ref="Q140:R143" si="71">H140-K140</f>
        <v>-1.1800000000000002</v>
      </c>
      <c r="R140" s="86">
        <f t="shared" si="71"/>
        <v>-716.93099999999993</v>
      </c>
      <c r="S140" s="86">
        <f t="shared" si="69"/>
        <v>716.93099999999993</v>
      </c>
      <c r="T140" s="223">
        <f>(J140-E140)/E140</f>
        <v>-4.7601199400302075E-3</v>
      </c>
      <c r="U140" s="373" t="s">
        <v>388</v>
      </c>
      <c r="V140" s="188"/>
    </row>
    <row r="141" spans="1:22" s="59" customFormat="1" ht="15.75">
      <c r="A141" s="64"/>
      <c r="B141" s="285" t="s">
        <v>151</v>
      </c>
      <c r="C141" s="205" t="s">
        <v>36</v>
      </c>
      <c r="D141" s="214" t="s">
        <v>156</v>
      </c>
      <c r="E141" s="177">
        <f t="shared" si="61"/>
        <v>656.33962264150944</v>
      </c>
      <c r="F141" s="258">
        <v>0.53</v>
      </c>
      <c r="G141" s="264">
        <v>347.86</v>
      </c>
      <c r="H141" s="176"/>
      <c r="I141" s="173"/>
      <c r="J141" s="387">
        <f t="shared" si="70"/>
        <v>482.77924528301884</v>
      </c>
      <c r="K141" s="396">
        <v>0.53</v>
      </c>
      <c r="L141" s="394">
        <f>307.0476/1.2</f>
        <v>255.87299999999999</v>
      </c>
      <c r="M141" s="396">
        <v>0.53</v>
      </c>
      <c r="N141" s="402">
        <f>307.0476/1.2</f>
        <v>255.87299999999999</v>
      </c>
      <c r="O141" s="214" t="s">
        <v>156</v>
      </c>
      <c r="P141" s="446"/>
      <c r="Q141" s="233">
        <f t="shared" si="71"/>
        <v>-0.53</v>
      </c>
      <c r="R141" s="85">
        <f t="shared" si="71"/>
        <v>-255.87299999999999</v>
      </c>
      <c r="S141" s="86">
        <f t="shared" si="69"/>
        <v>255.87299999999999</v>
      </c>
      <c r="T141" s="224">
        <f>(J141-E141)/E141</f>
        <v>-0.2644368424078653</v>
      </c>
      <c r="U141" s="282"/>
      <c r="V141" s="188"/>
    </row>
    <row r="142" spans="1:22" s="59" customFormat="1" ht="15.75">
      <c r="A142" s="64"/>
      <c r="B142" s="285" t="s">
        <v>227</v>
      </c>
      <c r="C142" s="205" t="s">
        <v>36</v>
      </c>
      <c r="D142" s="214" t="s">
        <v>156</v>
      </c>
      <c r="E142" s="177">
        <f t="shared" si="61"/>
        <v>450</v>
      </c>
      <c r="F142" s="258">
        <v>0.65</v>
      </c>
      <c r="G142" s="264">
        <v>292.5</v>
      </c>
      <c r="H142" s="176"/>
      <c r="I142" s="173"/>
      <c r="J142" s="387">
        <f t="shared" si="70"/>
        <v>513.03846153846155</v>
      </c>
      <c r="K142" s="396">
        <v>0.65</v>
      </c>
      <c r="L142" s="394">
        <f>400.17/1.2</f>
        <v>333.47500000000002</v>
      </c>
      <c r="M142" s="396">
        <v>0.65</v>
      </c>
      <c r="N142" s="402">
        <f>400.17/1.2</f>
        <v>333.47500000000002</v>
      </c>
      <c r="O142" s="214" t="s">
        <v>156</v>
      </c>
      <c r="P142" s="446"/>
      <c r="Q142" s="233">
        <f t="shared" si="71"/>
        <v>-0.65</v>
      </c>
      <c r="R142" s="85">
        <f t="shared" si="71"/>
        <v>-333.47500000000002</v>
      </c>
      <c r="S142" s="86">
        <f t="shared" si="69"/>
        <v>333.47500000000002</v>
      </c>
      <c r="T142" s="224">
        <f>(J142-E142)/E142</f>
        <v>0.14008547008547009</v>
      </c>
      <c r="U142" s="282"/>
      <c r="V142" s="188"/>
    </row>
    <row r="143" spans="1:22" s="59" customFormat="1" ht="15.75">
      <c r="A143" s="64"/>
      <c r="B143" s="285" t="s">
        <v>231</v>
      </c>
      <c r="C143" s="205" t="s">
        <v>37</v>
      </c>
      <c r="D143" s="214" t="s">
        <v>156</v>
      </c>
      <c r="E143" s="177">
        <f t="shared" si="61"/>
        <v>80</v>
      </c>
      <c r="F143" s="260">
        <v>1</v>
      </c>
      <c r="G143" s="264">
        <v>80</v>
      </c>
      <c r="H143" s="176"/>
      <c r="I143" s="173"/>
      <c r="J143" s="387">
        <f t="shared" si="70"/>
        <v>127.58300000000001</v>
      </c>
      <c r="K143" s="393">
        <v>1</v>
      </c>
      <c r="L143" s="394">
        <f>153.0996/1.2</f>
        <v>127.58300000000001</v>
      </c>
      <c r="M143" s="393">
        <v>1</v>
      </c>
      <c r="N143" s="402">
        <f>153.0996/1.2</f>
        <v>127.58300000000001</v>
      </c>
      <c r="O143" s="214" t="s">
        <v>156</v>
      </c>
      <c r="P143" s="447"/>
      <c r="Q143" s="88">
        <f t="shared" si="71"/>
        <v>-1</v>
      </c>
      <c r="R143" s="85">
        <f t="shared" si="71"/>
        <v>-127.58300000000001</v>
      </c>
      <c r="S143" s="86">
        <f t="shared" si="69"/>
        <v>127.58300000000001</v>
      </c>
      <c r="T143" s="224">
        <f>(J143-E143)/E143</f>
        <v>0.59478750000000014</v>
      </c>
      <c r="U143" s="282"/>
      <c r="V143" s="188"/>
    </row>
    <row r="144" spans="1:22" s="59" customFormat="1" ht="15.75">
      <c r="A144" s="64"/>
      <c r="B144" s="302" t="s">
        <v>92</v>
      </c>
      <c r="C144" s="293"/>
      <c r="D144" s="293"/>
      <c r="E144" s="177"/>
      <c r="F144" s="299"/>
      <c r="G144" s="300"/>
      <c r="H144" s="176"/>
      <c r="I144" s="173"/>
      <c r="J144" s="175"/>
      <c r="K144" s="260"/>
      <c r="L144" s="264"/>
      <c r="M144" s="260"/>
      <c r="N144" s="261"/>
      <c r="O144" s="293"/>
      <c r="P144" s="281"/>
      <c r="Q144" s="233"/>
      <c r="R144" s="85"/>
      <c r="S144" s="86">
        <f t="shared" si="69"/>
        <v>0</v>
      </c>
      <c r="T144" s="224"/>
      <c r="U144" s="282"/>
      <c r="V144" s="188"/>
    </row>
    <row r="145" spans="1:22" s="245" customFormat="1" ht="15.75">
      <c r="A145" s="241" t="s">
        <v>243</v>
      </c>
      <c r="B145" s="306" t="s">
        <v>232</v>
      </c>
      <c r="C145" s="195" t="s">
        <v>36</v>
      </c>
      <c r="D145" s="273" t="s">
        <v>156</v>
      </c>
      <c r="E145" s="307">
        <f t="shared" si="61"/>
        <v>898.77844311377248</v>
      </c>
      <c r="F145" s="310">
        <f>F146</f>
        <v>1.67</v>
      </c>
      <c r="G145" s="311">
        <f>G146</f>
        <v>1500.96</v>
      </c>
      <c r="H145" s="313"/>
      <c r="I145" s="174"/>
      <c r="J145" s="307">
        <f t="shared" ref="J145:J147" si="72">L145/K145</f>
        <v>898.04519461077848</v>
      </c>
      <c r="K145" s="310">
        <f>K146</f>
        <v>1.67</v>
      </c>
      <c r="L145" s="311">
        <f>L146</f>
        <v>1499.735475</v>
      </c>
      <c r="M145" s="310">
        <f>M146</f>
        <v>1.67</v>
      </c>
      <c r="N145" s="312">
        <f>N146</f>
        <v>1499.735475</v>
      </c>
      <c r="O145" s="273" t="s">
        <v>156</v>
      </c>
      <c r="P145" s="445"/>
      <c r="Q145" s="231">
        <f t="shared" ref="Q145:Q159" si="73">H145-K145</f>
        <v>-1.67</v>
      </c>
      <c r="R145" s="86">
        <f t="shared" ref="R145:R159" si="74">I145-L145</f>
        <v>-1499.735475</v>
      </c>
      <c r="S145" s="86">
        <f t="shared" si="69"/>
        <v>1499.735475</v>
      </c>
      <c r="T145" s="223">
        <f t="shared" ref="T145:T159" si="75">(J145-E145)/E145</f>
        <v>-8.1582787016308415E-4</v>
      </c>
      <c r="U145" s="373" t="s">
        <v>390</v>
      </c>
      <c r="V145" s="188"/>
    </row>
    <row r="146" spans="1:22" s="59" customFormat="1" ht="15.75">
      <c r="A146" s="64"/>
      <c r="B146" s="285" t="s">
        <v>151</v>
      </c>
      <c r="C146" s="205" t="s">
        <v>36</v>
      </c>
      <c r="D146" s="214" t="s">
        <v>156</v>
      </c>
      <c r="E146" s="177">
        <f t="shared" si="61"/>
        <v>898.77844311377248</v>
      </c>
      <c r="F146" s="258">
        <v>1.67</v>
      </c>
      <c r="G146" s="264">
        <v>1500.96</v>
      </c>
      <c r="H146" s="176"/>
      <c r="I146" s="173"/>
      <c r="J146" s="387">
        <f t="shared" si="72"/>
        <v>898.04519461077848</v>
      </c>
      <c r="K146" s="396">
        <v>1.67</v>
      </c>
      <c r="L146" s="394">
        <f>(1183.24963+616.43294)/1.2</f>
        <v>1499.735475</v>
      </c>
      <c r="M146" s="396">
        <v>1.67</v>
      </c>
      <c r="N146" s="402">
        <f>(1183.24963+616.43294)/1.2</f>
        <v>1499.735475</v>
      </c>
      <c r="O146" s="214" t="s">
        <v>156</v>
      </c>
      <c r="P146" s="447"/>
      <c r="Q146" s="233">
        <f t="shared" si="73"/>
        <v>-1.67</v>
      </c>
      <c r="R146" s="85">
        <f t="shared" si="74"/>
        <v>-1499.735475</v>
      </c>
      <c r="S146" s="86">
        <f t="shared" si="69"/>
        <v>1499.735475</v>
      </c>
      <c r="T146" s="224">
        <f t="shared" si="75"/>
        <v>-8.1582787016308415E-4</v>
      </c>
      <c r="U146" s="282"/>
      <c r="V146" s="188"/>
    </row>
    <row r="147" spans="1:22" s="245" customFormat="1" ht="15.75" customHeight="1">
      <c r="A147" s="241" t="s">
        <v>244</v>
      </c>
      <c r="B147" s="317" t="s">
        <v>233</v>
      </c>
      <c r="C147" s="195" t="s">
        <v>36</v>
      </c>
      <c r="D147" s="273" t="s">
        <v>156</v>
      </c>
      <c r="E147" s="307">
        <f t="shared" si="61"/>
        <v>485.45098039215685</v>
      </c>
      <c r="F147" s="310">
        <f>F148</f>
        <v>3.57</v>
      </c>
      <c r="G147" s="328">
        <f>SUM(G148:G149)</f>
        <v>1733.06</v>
      </c>
      <c r="H147" s="313"/>
      <c r="I147" s="174"/>
      <c r="J147" s="307">
        <f t="shared" si="72"/>
        <v>484.99995564892629</v>
      </c>
      <c r="K147" s="310">
        <f>K148</f>
        <v>3.57</v>
      </c>
      <c r="L147" s="328">
        <f>SUM(L148:L149)</f>
        <v>1731.4498416666668</v>
      </c>
      <c r="M147" s="310">
        <f>M148</f>
        <v>3.57</v>
      </c>
      <c r="N147" s="328">
        <f>SUM(N148:N149)</f>
        <v>1731.4498416666668</v>
      </c>
      <c r="O147" s="273" t="s">
        <v>156</v>
      </c>
      <c r="P147" s="445" t="s">
        <v>404</v>
      </c>
      <c r="Q147" s="231">
        <f t="shared" si="73"/>
        <v>-3.57</v>
      </c>
      <c r="R147" s="86">
        <f t="shared" si="74"/>
        <v>-1731.4498416666668</v>
      </c>
      <c r="S147" s="86">
        <f t="shared" si="69"/>
        <v>1731.4498416666668</v>
      </c>
      <c r="T147" s="223">
        <f t="shared" si="75"/>
        <v>-9.2908400940135128E-4</v>
      </c>
      <c r="U147" s="373" t="s">
        <v>390</v>
      </c>
      <c r="V147" s="188"/>
    </row>
    <row r="148" spans="1:22" s="59" customFormat="1" ht="15.75">
      <c r="A148" s="64"/>
      <c r="B148" s="283" t="s">
        <v>151</v>
      </c>
      <c r="C148" s="205" t="s">
        <v>36</v>
      </c>
      <c r="D148" s="214" t="s">
        <v>156</v>
      </c>
      <c r="E148" s="177">
        <f>G148/F148</f>
        <v>463.0420168067227</v>
      </c>
      <c r="F148" s="270">
        <v>3.57</v>
      </c>
      <c r="G148" s="271">
        <v>1653.06</v>
      </c>
      <c r="H148" s="176"/>
      <c r="I148" s="173"/>
      <c r="J148" s="387">
        <f>L148/K148</f>
        <v>431.06449112978532</v>
      </c>
      <c r="K148" s="388">
        <v>3.57</v>
      </c>
      <c r="L148" s="399">
        <f>1846.68028/1.2</f>
        <v>1538.9002333333335</v>
      </c>
      <c r="M148" s="388">
        <v>3.57</v>
      </c>
      <c r="N148" s="399">
        <f>1846.68028/1.2</f>
        <v>1538.9002333333335</v>
      </c>
      <c r="O148" s="214" t="s">
        <v>156</v>
      </c>
      <c r="P148" s="446"/>
      <c r="Q148" s="233">
        <f t="shared" si="73"/>
        <v>-3.57</v>
      </c>
      <c r="R148" s="85">
        <f t="shared" si="74"/>
        <v>-1538.9002333333335</v>
      </c>
      <c r="S148" s="86">
        <f t="shared" si="69"/>
        <v>1538.9002333333335</v>
      </c>
      <c r="T148" s="224">
        <f t="shared" si="75"/>
        <v>-6.9059663089462223E-2</v>
      </c>
      <c r="U148" s="282"/>
      <c r="V148" s="188"/>
    </row>
    <row r="149" spans="1:22" s="59" customFormat="1" ht="15.75">
      <c r="A149" s="64"/>
      <c r="B149" s="283" t="s">
        <v>234</v>
      </c>
      <c r="C149" s="205" t="s">
        <v>37</v>
      </c>
      <c r="D149" s="214" t="s">
        <v>156</v>
      </c>
      <c r="E149" s="177">
        <f>G149/F149</f>
        <v>80</v>
      </c>
      <c r="F149" s="272">
        <v>1</v>
      </c>
      <c r="G149" s="271">
        <v>80</v>
      </c>
      <c r="H149" s="176"/>
      <c r="I149" s="173"/>
      <c r="J149" s="387">
        <f>L149/K149</f>
        <v>192.54960833333334</v>
      </c>
      <c r="K149" s="390">
        <v>1</v>
      </c>
      <c r="L149" s="399">
        <f>231.05953/1.2</f>
        <v>192.54960833333334</v>
      </c>
      <c r="M149" s="390">
        <v>1</v>
      </c>
      <c r="N149" s="399">
        <f>231.05953/1.2</f>
        <v>192.54960833333334</v>
      </c>
      <c r="O149" s="214" t="s">
        <v>156</v>
      </c>
      <c r="P149" s="447"/>
      <c r="Q149" s="88">
        <f t="shared" si="73"/>
        <v>-1</v>
      </c>
      <c r="R149" s="85">
        <f t="shared" si="74"/>
        <v>-192.54960833333334</v>
      </c>
      <c r="S149" s="86">
        <f t="shared" si="69"/>
        <v>192.54960833333334</v>
      </c>
      <c r="T149" s="224">
        <f t="shared" si="75"/>
        <v>1.4068701041666667</v>
      </c>
      <c r="U149" s="282"/>
      <c r="V149" s="188"/>
    </row>
    <row r="150" spans="1:22" s="245" customFormat="1" ht="15.75" customHeight="1">
      <c r="A150" s="241" t="s">
        <v>245</v>
      </c>
      <c r="B150" s="317" t="s">
        <v>235</v>
      </c>
      <c r="C150" s="195" t="s">
        <v>36</v>
      </c>
      <c r="D150" s="273" t="s">
        <v>156</v>
      </c>
      <c r="E150" s="307">
        <f t="shared" si="61"/>
        <v>465.8602150537634</v>
      </c>
      <c r="F150" s="310">
        <f>F151</f>
        <v>1.86</v>
      </c>
      <c r="G150" s="328">
        <f>G151</f>
        <v>866.5</v>
      </c>
      <c r="H150" s="313"/>
      <c r="I150" s="174"/>
      <c r="J150" s="307">
        <f t="shared" ref="J150:J152" si="76">L150/K150</f>
        <v>465.34409050179221</v>
      </c>
      <c r="K150" s="310">
        <f>K151</f>
        <v>1.86</v>
      </c>
      <c r="L150" s="328">
        <f>L151</f>
        <v>865.5400083333335</v>
      </c>
      <c r="M150" s="310">
        <f>M151</f>
        <v>1.86</v>
      </c>
      <c r="N150" s="328">
        <f>N151</f>
        <v>865.5400083333335</v>
      </c>
      <c r="O150" s="273" t="s">
        <v>156</v>
      </c>
      <c r="P150" s="445" t="s">
        <v>405</v>
      </c>
      <c r="Q150" s="231">
        <f t="shared" si="73"/>
        <v>-1.86</v>
      </c>
      <c r="R150" s="86">
        <f t="shared" si="74"/>
        <v>-865.5400083333335</v>
      </c>
      <c r="S150" s="86">
        <f t="shared" si="69"/>
        <v>865.5400083333335</v>
      </c>
      <c r="T150" s="223">
        <f t="shared" si="75"/>
        <v>-1.1078957491822393E-3</v>
      </c>
      <c r="U150" s="373" t="s">
        <v>390</v>
      </c>
      <c r="V150" s="188"/>
    </row>
    <row r="151" spans="1:22" s="59" customFormat="1" ht="31.5" customHeight="1">
      <c r="A151" s="64"/>
      <c r="B151" s="283" t="s">
        <v>151</v>
      </c>
      <c r="C151" s="205" t="s">
        <v>36</v>
      </c>
      <c r="D151" s="214" t="s">
        <v>156</v>
      </c>
      <c r="E151" s="177">
        <f t="shared" si="61"/>
        <v>465.8602150537634</v>
      </c>
      <c r="F151" s="270">
        <v>1.86</v>
      </c>
      <c r="G151" s="271">
        <v>866.5</v>
      </c>
      <c r="H151" s="176"/>
      <c r="I151" s="173"/>
      <c r="J151" s="387">
        <f t="shared" si="76"/>
        <v>465.34409050179221</v>
      </c>
      <c r="K151" s="388">
        <v>1.86</v>
      </c>
      <c r="L151" s="399">
        <f>1038.64801/1.2</f>
        <v>865.5400083333335</v>
      </c>
      <c r="M151" s="388">
        <v>1.86</v>
      </c>
      <c r="N151" s="399">
        <f>1038.64801/1.2</f>
        <v>865.5400083333335</v>
      </c>
      <c r="O151" s="214" t="s">
        <v>156</v>
      </c>
      <c r="P151" s="447"/>
      <c r="Q151" s="233">
        <f t="shared" si="73"/>
        <v>-1.86</v>
      </c>
      <c r="R151" s="85">
        <f t="shared" si="74"/>
        <v>-865.5400083333335</v>
      </c>
      <c r="S151" s="86">
        <f t="shared" si="69"/>
        <v>865.5400083333335</v>
      </c>
      <c r="T151" s="224">
        <f t="shared" si="75"/>
        <v>-1.1078957491822393E-3</v>
      </c>
      <c r="U151" s="282"/>
      <c r="V151" s="188"/>
    </row>
    <row r="152" spans="1:22" s="245" customFormat="1" ht="15.75" customHeight="1">
      <c r="A152" s="241" t="s">
        <v>246</v>
      </c>
      <c r="B152" s="331" t="s">
        <v>236</v>
      </c>
      <c r="C152" s="195" t="s">
        <v>36</v>
      </c>
      <c r="D152" s="273" t="s">
        <v>156</v>
      </c>
      <c r="E152" s="307">
        <f t="shared" si="61"/>
        <v>784.88342245989304</v>
      </c>
      <c r="F152" s="310">
        <f>SUM(F153:F154)</f>
        <v>4.6749999999999998</v>
      </c>
      <c r="G152" s="328">
        <f>SUM(G153:G156)</f>
        <v>3669.33</v>
      </c>
      <c r="H152" s="313"/>
      <c r="I152" s="174"/>
      <c r="J152" s="307">
        <f t="shared" si="76"/>
        <v>784.5257222816399</v>
      </c>
      <c r="K152" s="310">
        <f>SUM(K153:K154)</f>
        <v>4.6749999999999998</v>
      </c>
      <c r="L152" s="328">
        <f>SUM(L153:L156)</f>
        <v>3667.6577516666666</v>
      </c>
      <c r="M152" s="310">
        <f>SUM(M153:M154)</f>
        <v>4.6749999999999998</v>
      </c>
      <c r="N152" s="328">
        <f>SUM(N153:N156)</f>
        <v>3667.6577516666666</v>
      </c>
      <c r="O152" s="273" t="s">
        <v>156</v>
      </c>
      <c r="P152" s="445" t="s">
        <v>406</v>
      </c>
      <c r="Q152" s="231">
        <f t="shared" si="73"/>
        <v>-4.6749999999999998</v>
      </c>
      <c r="R152" s="86">
        <f t="shared" si="74"/>
        <v>-3667.6577516666666</v>
      </c>
      <c r="S152" s="86">
        <f t="shared" si="69"/>
        <v>3667.6577516666666</v>
      </c>
      <c r="T152" s="223">
        <f t="shared" si="75"/>
        <v>-4.5573669670850761E-4</v>
      </c>
      <c r="U152" s="373" t="s">
        <v>390</v>
      </c>
      <c r="V152" s="188"/>
    </row>
    <row r="153" spans="1:22" s="59" customFormat="1" ht="15.75">
      <c r="A153" s="64"/>
      <c r="B153" s="283" t="s">
        <v>151</v>
      </c>
      <c r="C153" s="205" t="s">
        <v>36</v>
      </c>
      <c r="D153" s="214" t="s">
        <v>156</v>
      </c>
      <c r="E153" s="177">
        <f>G153/F153</f>
        <v>755.56086956521744</v>
      </c>
      <c r="F153" s="270">
        <v>4.5999999999999996</v>
      </c>
      <c r="G153" s="271">
        <v>3475.58</v>
      </c>
      <c r="H153" s="176"/>
      <c r="I153" s="173"/>
      <c r="J153" s="387">
        <f>L153/K153</f>
        <v>669.0890913043479</v>
      </c>
      <c r="K153" s="388">
        <v>4.5999999999999996</v>
      </c>
      <c r="L153" s="399">
        <f>1560.73797+1517.07185</f>
        <v>3077.8098199999999</v>
      </c>
      <c r="M153" s="388">
        <v>4.5999999999999996</v>
      </c>
      <c r="N153" s="399">
        <f>1560.73797+1517.07185</f>
        <v>3077.8098199999999</v>
      </c>
      <c r="O153" s="214" t="s">
        <v>156</v>
      </c>
      <c r="P153" s="446"/>
      <c r="Q153" s="233">
        <f t="shared" si="73"/>
        <v>-4.5999999999999996</v>
      </c>
      <c r="R153" s="85">
        <f t="shared" si="74"/>
        <v>-3077.8098199999999</v>
      </c>
      <c r="S153" s="86">
        <f t="shared" si="69"/>
        <v>3077.8098199999999</v>
      </c>
      <c r="T153" s="224">
        <f t="shared" si="75"/>
        <v>-0.1144471368807508</v>
      </c>
      <c r="U153" s="282"/>
      <c r="V153" s="188"/>
    </row>
    <row r="154" spans="1:22" s="59" customFormat="1" ht="15.75">
      <c r="A154" s="64"/>
      <c r="B154" s="283" t="s">
        <v>152</v>
      </c>
      <c r="C154" s="205" t="s">
        <v>36</v>
      </c>
      <c r="D154" s="214" t="s">
        <v>156</v>
      </c>
      <c r="E154" s="177">
        <f t="shared" ref="E154:E156" si="77">G154/F154</f>
        <v>450</v>
      </c>
      <c r="F154" s="270">
        <v>7.4999999999999997E-2</v>
      </c>
      <c r="G154" s="271">
        <v>33.75</v>
      </c>
      <c r="H154" s="176"/>
      <c r="I154" s="173"/>
      <c r="J154" s="387">
        <f t="shared" ref="J154:J156" si="78">L154/K154</f>
        <v>2270.4652000000001</v>
      </c>
      <c r="K154" s="388">
        <v>7.4999999999999997E-2</v>
      </c>
      <c r="L154" s="399">
        <v>170.28488999999999</v>
      </c>
      <c r="M154" s="388">
        <v>7.4999999999999997E-2</v>
      </c>
      <c r="N154" s="399">
        <v>170.28488999999999</v>
      </c>
      <c r="O154" s="214" t="s">
        <v>156</v>
      </c>
      <c r="P154" s="446"/>
      <c r="Q154" s="233">
        <f t="shared" si="73"/>
        <v>-7.4999999999999997E-2</v>
      </c>
      <c r="R154" s="85">
        <f t="shared" si="74"/>
        <v>-170.28488999999999</v>
      </c>
      <c r="S154" s="86">
        <f t="shared" si="69"/>
        <v>170.28488999999999</v>
      </c>
      <c r="T154" s="224">
        <f t="shared" si="75"/>
        <v>4.0454782222222221</v>
      </c>
      <c r="U154" s="282"/>
      <c r="V154" s="188"/>
    </row>
    <row r="155" spans="1:22" s="59" customFormat="1" ht="31.5">
      <c r="A155" s="64"/>
      <c r="B155" s="283" t="s">
        <v>237</v>
      </c>
      <c r="C155" s="205" t="s">
        <v>37</v>
      </c>
      <c r="D155" s="214" t="s">
        <v>156</v>
      </c>
      <c r="E155" s="177">
        <f t="shared" si="77"/>
        <v>80</v>
      </c>
      <c r="F155" s="272">
        <v>1</v>
      </c>
      <c r="G155" s="271">
        <v>80</v>
      </c>
      <c r="H155" s="176"/>
      <c r="I155" s="173"/>
      <c r="J155" s="387">
        <f t="shared" si="78"/>
        <v>209.01570833333335</v>
      </c>
      <c r="K155" s="390">
        <v>1</v>
      </c>
      <c r="L155" s="399">
        <f>250.81885/1.2</f>
        <v>209.01570833333335</v>
      </c>
      <c r="M155" s="390">
        <v>1</v>
      </c>
      <c r="N155" s="399">
        <f>250.81885/1.2</f>
        <v>209.01570833333335</v>
      </c>
      <c r="O155" s="214" t="s">
        <v>156</v>
      </c>
      <c r="P155" s="446"/>
      <c r="Q155" s="88">
        <f t="shared" si="73"/>
        <v>-1</v>
      </c>
      <c r="R155" s="85">
        <f t="shared" si="74"/>
        <v>-209.01570833333335</v>
      </c>
      <c r="S155" s="86">
        <f t="shared" si="69"/>
        <v>209.01570833333335</v>
      </c>
      <c r="T155" s="224">
        <f t="shared" si="75"/>
        <v>1.6126963541666668</v>
      </c>
      <c r="U155" s="282"/>
      <c r="V155" s="188"/>
    </row>
    <row r="156" spans="1:22" s="59" customFormat="1" ht="15.75">
      <c r="A156" s="64"/>
      <c r="B156" s="283" t="s">
        <v>238</v>
      </c>
      <c r="C156" s="205" t="s">
        <v>37</v>
      </c>
      <c r="D156" s="214" t="s">
        <v>156</v>
      </c>
      <c r="E156" s="177">
        <f t="shared" si="77"/>
        <v>80</v>
      </c>
      <c r="F156" s="272">
        <v>1</v>
      </c>
      <c r="G156" s="271">
        <v>80</v>
      </c>
      <c r="H156" s="176"/>
      <c r="I156" s="173"/>
      <c r="J156" s="387">
        <f t="shared" si="78"/>
        <v>210.54733333333334</v>
      </c>
      <c r="K156" s="390">
        <v>1</v>
      </c>
      <c r="L156" s="399">
        <f>252.6568/1.2</f>
        <v>210.54733333333334</v>
      </c>
      <c r="M156" s="390">
        <v>1</v>
      </c>
      <c r="N156" s="399">
        <f>252.6568/1.2</f>
        <v>210.54733333333334</v>
      </c>
      <c r="O156" s="214" t="s">
        <v>156</v>
      </c>
      <c r="P156" s="447"/>
      <c r="Q156" s="88">
        <f t="shared" si="73"/>
        <v>-1</v>
      </c>
      <c r="R156" s="85">
        <f t="shared" si="74"/>
        <v>-210.54733333333334</v>
      </c>
      <c r="S156" s="86">
        <f t="shared" si="69"/>
        <v>210.54733333333334</v>
      </c>
      <c r="T156" s="224">
        <f t="shared" si="75"/>
        <v>1.6318416666666669</v>
      </c>
      <c r="U156" s="282"/>
      <c r="V156" s="188"/>
    </row>
    <row r="157" spans="1:22" s="59" customFormat="1" ht="31.5">
      <c r="A157" s="195" t="s">
        <v>127</v>
      </c>
      <c r="B157" s="171" t="s">
        <v>68</v>
      </c>
      <c r="C157" s="172" t="s">
        <v>37</v>
      </c>
      <c r="D157" s="273" t="s">
        <v>156</v>
      </c>
      <c r="E157" s="196">
        <v>0.55000000000000004</v>
      </c>
      <c r="F157" s="197">
        <v>2500</v>
      </c>
      <c r="G157" s="198">
        <v>1375</v>
      </c>
      <c r="H157" s="375">
        <v>1125</v>
      </c>
      <c r="I157" s="200">
        <f>H157*E157</f>
        <v>618.75</v>
      </c>
      <c r="J157" s="203">
        <f>L157/K157</f>
        <v>0.43905902609890107</v>
      </c>
      <c r="K157" s="202">
        <v>1820</v>
      </c>
      <c r="L157" s="150">
        <v>799.08742749999999</v>
      </c>
      <c r="M157" s="202">
        <v>717</v>
      </c>
      <c r="N157" s="150">
        <v>297.64663999999999</v>
      </c>
      <c r="O157" s="273" t="s">
        <v>156</v>
      </c>
      <c r="P157" s="168"/>
      <c r="Q157" s="230">
        <f t="shared" si="73"/>
        <v>-695</v>
      </c>
      <c r="R157" s="86">
        <f t="shared" si="74"/>
        <v>-180.33742749999999</v>
      </c>
      <c r="S157" s="86">
        <f t="shared" si="69"/>
        <v>180.33742749999999</v>
      </c>
      <c r="T157" s="223">
        <f t="shared" si="75"/>
        <v>-0.20171086163836174</v>
      </c>
      <c r="U157" s="280"/>
      <c r="V157" s="169"/>
    </row>
    <row r="158" spans="1:22" s="59" customFormat="1" ht="31.5">
      <c r="A158" s="199" t="s">
        <v>128</v>
      </c>
      <c r="B158" s="171" t="s">
        <v>69</v>
      </c>
      <c r="C158" s="172" t="s">
        <v>37</v>
      </c>
      <c r="D158" s="273" t="s">
        <v>156</v>
      </c>
      <c r="E158" s="196">
        <v>0.84599999999999997</v>
      </c>
      <c r="F158" s="201">
        <v>1000</v>
      </c>
      <c r="G158" s="200">
        <v>846</v>
      </c>
      <c r="H158" s="375">
        <v>450</v>
      </c>
      <c r="I158" s="200">
        <f>H158*E158</f>
        <v>380.7</v>
      </c>
      <c r="J158" s="203">
        <f>L158/K158</f>
        <v>0.7983896938131313</v>
      </c>
      <c r="K158" s="202">
        <v>792</v>
      </c>
      <c r="L158" s="150">
        <v>632.32463749999999</v>
      </c>
      <c r="M158" s="202">
        <v>303</v>
      </c>
      <c r="N158" s="150">
        <f>16.24662+213.88118</f>
        <v>230.12780000000001</v>
      </c>
      <c r="O158" s="273" t="s">
        <v>156</v>
      </c>
      <c r="P158" s="168"/>
      <c r="Q158" s="230">
        <f t="shared" si="73"/>
        <v>-342</v>
      </c>
      <c r="R158" s="86">
        <f t="shared" si="74"/>
        <v>-251.62463750000001</v>
      </c>
      <c r="S158" s="86">
        <f t="shared" si="69"/>
        <v>251.62463750000001</v>
      </c>
      <c r="T158" s="223">
        <f t="shared" si="75"/>
        <v>-5.6276957667693472E-2</v>
      </c>
      <c r="U158" s="280"/>
      <c r="V158" s="169"/>
    </row>
    <row r="159" spans="1:22" s="59" customFormat="1" ht="15.75">
      <c r="A159" s="199" t="s">
        <v>129</v>
      </c>
      <c r="B159" s="290" t="s">
        <v>248</v>
      </c>
      <c r="C159" s="172" t="s">
        <v>36</v>
      </c>
      <c r="D159" s="273" t="s">
        <v>156</v>
      </c>
      <c r="E159" s="200">
        <f>G159/F159</f>
        <v>27.744926989516038</v>
      </c>
      <c r="F159" s="203">
        <f>SUM(F161:F179)</f>
        <v>63.621000000000002</v>
      </c>
      <c r="G159" s="203">
        <f>SUM(G161:G179)</f>
        <v>1765.1599999999999</v>
      </c>
      <c r="H159" s="202"/>
      <c r="I159" s="203"/>
      <c r="J159" s="203"/>
      <c r="K159" s="202"/>
      <c r="L159" s="150"/>
      <c r="M159" s="202"/>
      <c r="N159" s="203"/>
      <c r="O159" s="168"/>
      <c r="P159" s="168"/>
      <c r="Q159" s="230">
        <f t="shared" si="73"/>
        <v>0</v>
      </c>
      <c r="R159" s="86">
        <f t="shared" si="74"/>
        <v>0</v>
      </c>
      <c r="S159" s="86">
        <f t="shared" si="69"/>
        <v>0</v>
      </c>
      <c r="T159" s="223">
        <f t="shared" si="75"/>
        <v>-1</v>
      </c>
      <c r="U159" s="222"/>
      <c r="V159" s="169"/>
    </row>
    <row r="160" spans="1:22" s="59" customFormat="1" ht="15.75">
      <c r="A160" s="167"/>
      <c r="B160" s="302" t="s">
        <v>102</v>
      </c>
      <c r="C160" s="205"/>
      <c r="D160" s="160"/>
      <c r="E160" s="177"/>
      <c r="F160" s="178"/>
      <c r="G160" s="177"/>
      <c r="H160" s="129"/>
      <c r="I160" s="89"/>
      <c r="J160" s="85"/>
      <c r="K160" s="129"/>
      <c r="L160" s="85"/>
      <c r="M160" s="129"/>
      <c r="N160" s="89"/>
      <c r="O160" s="128"/>
      <c r="P160" s="128"/>
      <c r="Q160" s="230"/>
      <c r="R160" s="86"/>
      <c r="S160" s="86">
        <f t="shared" si="69"/>
        <v>0</v>
      </c>
      <c r="T160" s="223"/>
      <c r="U160" s="212"/>
      <c r="V160" s="186"/>
    </row>
    <row r="161" spans="1:22" s="59" customFormat="1" ht="31.5">
      <c r="A161" s="167" t="s">
        <v>94</v>
      </c>
      <c r="B161" s="292" t="s">
        <v>249</v>
      </c>
      <c r="C161" s="205" t="s">
        <v>36</v>
      </c>
      <c r="D161" s="214" t="s">
        <v>156</v>
      </c>
      <c r="E161" s="335">
        <f>G161/F161</f>
        <v>28.630000000000003</v>
      </c>
      <c r="F161" s="335">
        <v>5</v>
      </c>
      <c r="G161" s="335">
        <v>143.15</v>
      </c>
      <c r="H161" s="176"/>
      <c r="I161" s="173"/>
      <c r="J161" s="85"/>
      <c r="K161" s="260"/>
      <c r="L161" s="173"/>
      <c r="M161" s="260"/>
      <c r="N161" s="266"/>
      <c r="O161" s="128"/>
      <c r="P161" s="128"/>
      <c r="Q161" s="88">
        <f>H161-K161</f>
        <v>0</v>
      </c>
      <c r="R161" s="85">
        <f>I161-L161</f>
        <v>0</v>
      </c>
      <c r="S161" s="86">
        <f t="shared" si="69"/>
        <v>0</v>
      </c>
      <c r="T161" s="224">
        <f>(J161-E161)/E161</f>
        <v>-1</v>
      </c>
      <c r="U161" s="372" t="s">
        <v>393</v>
      </c>
      <c r="V161" s="186"/>
    </row>
    <row r="162" spans="1:22" s="59" customFormat="1" ht="15.75">
      <c r="A162" s="167"/>
      <c r="B162" s="302" t="s">
        <v>89</v>
      </c>
      <c r="C162" s="205"/>
      <c r="D162" s="160"/>
      <c r="E162" s="338"/>
      <c r="F162" s="336"/>
      <c r="G162" s="339"/>
      <c r="H162" s="176"/>
      <c r="I162" s="173"/>
      <c r="J162" s="85"/>
      <c r="K162" s="260"/>
      <c r="L162" s="173"/>
      <c r="M162" s="260"/>
      <c r="N162" s="266"/>
      <c r="O162" s="128"/>
      <c r="P162" s="128"/>
      <c r="Q162" s="88"/>
      <c r="R162" s="85"/>
      <c r="S162" s="86">
        <f t="shared" si="69"/>
        <v>0</v>
      </c>
      <c r="T162" s="224"/>
      <c r="U162" s="280"/>
      <c r="V162" s="186"/>
    </row>
    <row r="163" spans="1:22" s="59" customFormat="1" ht="31.5">
      <c r="A163" s="167" t="s">
        <v>264</v>
      </c>
      <c r="B163" s="292" t="s">
        <v>250</v>
      </c>
      <c r="C163" s="205" t="s">
        <v>36</v>
      </c>
      <c r="D163" s="214" t="s">
        <v>156</v>
      </c>
      <c r="E163" s="335">
        <f t="shared" ref="E163:E171" si="79">G163/F163</f>
        <v>29.883333333333333</v>
      </c>
      <c r="F163" s="335">
        <v>3.6</v>
      </c>
      <c r="G163" s="335">
        <v>107.58</v>
      </c>
      <c r="H163" s="176"/>
      <c r="I163" s="173"/>
      <c r="J163" s="85"/>
      <c r="K163" s="260"/>
      <c r="L163" s="173"/>
      <c r="M163" s="260"/>
      <c r="N163" s="266"/>
      <c r="O163" s="128"/>
      <c r="P163" s="128"/>
      <c r="Q163" s="88">
        <f t="shared" ref="Q163:R169" si="80">H163-K163</f>
        <v>0</v>
      </c>
      <c r="R163" s="85">
        <f t="shared" si="80"/>
        <v>0</v>
      </c>
      <c r="S163" s="86">
        <f t="shared" si="69"/>
        <v>0</v>
      </c>
      <c r="T163" s="224">
        <f t="shared" ref="T163:T169" si="81">(J163-E163)/E163</f>
        <v>-1</v>
      </c>
      <c r="U163" s="372" t="s">
        <v>393</v>
      </c>
      <c r="V163" s="186"/>
    </row>
    <row r="164" spans="1:22" s="59" customFormat="1" ht="31.5">
      <c r="A164" s="167" t="s">
        <v>265</v>
      </c>
      <c r="B164" s="292" t="s">
        <v>251</v>
      </c>
      <c r="C164" s="205" t="s">
        <v>36</v>
      </c>
      <c r="D164" s="214" t="s">
        <v>156</v>
      </c>
      <c r="E164" s="335">
        <f t="shared" si="79"/>
        <v>25.447811447811446</v>
      </c>
      <c r="F164" s="335">
        <v>2.97</v>
      </c>
      <c r="G164" s="335">
        <v>75.58</v>
      </c>
      <c r="H164" s="176"/>
      <c r="I164" s="173"/>
      <c r="J164" s="85"/>
      <c r="K164" s="260"/>
      <c r="L164" s="173"/>
      <c r="M164" s="260"/>
      <c r="N164" s="266"/>
      <c r="O164" s="128"/>
      <c r="P164" s="128"/>
      <c r="Q164" s="88">
        <f t="shared" si="80"/>
        <v>0</v>
      </c>
      <c r="R164" s="85">
        <f t="shared" si="80"/>
        <v>0</v>
      </c>
      <c r="S164" s="86">
        <f t="shared" si="69"/>
        <v>0</v>
      </c>
      <c r="T164" s="224">
        <f t="shared" si="81"/>
        <v>-1</v>
      </c>
      <c r="U164" s="372" t="s">
        <v>393</v>
      </c>
      <c r="V164" s="186"/>
    </row>
    <row r="165" spans="1:22" s="59" customFormat="1" ht="31.5">
      <c r="A165" s="167" t="s">
        <v>266</v>
      </c>
      <c r="B165" s="292" t="s">
        <v>252</v>
      </c>
      <c r="C165" s="205" t="s">
        <v>36</v>
      </c>
      <c r="D165" s="214" t="s">
        <v>156</v>
      </c>
      <c r="E165" s="335">
        <f t="shared" si="79"/>
        <v>34.747826086956522</v>
      </c>
      <c r="F165" s="335">
        <v>2.2999999999999998</v>
      </c>
      <c r="G165" s="335">
        <v>79.92</v>
      </c>
      <c r="H165" s="176"/>
      <c r="I165" s="173"/>
      <c r="J165" s="85"/>
      <c r="K165" s="260"/>
      <c r="L165" s="173"/>
      <c r="M165" s="260"/>
      <c r="N165" s="266"/>
      <c r="O165" s="128"/>
      <c r="P165" s="128"/>
      <c r="Q165" s="88">
        <f t="shared" si="80"/>
        <v>0</v>
      </c>
      <c r="R165" s="85">
        <f t="shared" si="80"/>
        <v>0</v>
      </c>
      <c r="S165" s="86">
        <f t="shared" si="69"/>
        <v>0</v>
      </c>
      <c r="T165" s="224">
        <f t="shared" si="81"/>
        <v>-1</v>
      </c>
      <c r="U165" s="372" t="s">
        <v>393</v>
      </c>
      <c r="V165" s="186"/>
    </row>
    <row r="166" spans="1:22" s="59" customFormat="1" ht="38.25">
      <c r="A166" s="167" t="s">
        <v>267</v>
      </c>
      <c r="B166" s="292" t="s">
        <v>253</v>
      </c>
      <c r="C166" s="205" t="s">
        <v>36</v>
      </c>
      <c r="D166" s="214" t="s">
        <v>156</v>
      </c>
      <c r="E166" s="335">
        <f t="shared" si="79"/>
        <v>24.924528301886795</v>
      </c>
      <c r="F166" s="335">
        <v>4.7699999999999996</v>
      </c>
      <c r="G166" s="335">
        <v>118.89</v>
      </c>
      <c r="H166" s="176"/>
      <c r="I166" s="173"/>
      <c r="J166" s="85"/>
      <c r="K166" s="260"/>
      <c r="L166" s="173"/>
      <c r="M166" s="260"/>
      <c r="N166" s="266"/>
      <c r="O166" s="128"/>
      <c r="P166" s="128"/>
      <c r="Q166" s="88">
        <f t="shared" si="80"/>
        <v>0</v>
      </c>
      <c r="R166" s="85">
        <f t="shared" si="80"/>
        <v>0</v>
      </c>
      <c r="S166" s="86">
        <f t="shared" si="69"/>
        <v>0</v>
      </c>
      <c r="T166" s="224">
        <f t="shared" si="81"/>
        <v>-1</v>
      </c>
      <c r="U166" s="372" t="s">
        <v>394</v>
      </c>
      <c r="V166" s="186"/>
    </row>
    <row r="167" spans="1:22" s="59" customFormat="1" ht="38.25">
      <c r="A167" s="167" t="s">
        <v>268</v>
      </c>
      <c r="B167" s="292" t="s">
        <v>254</v>
      </c>
      <c r="C167" s="205" t="s">
        <v>36</v>
      </c>
      <c r="D167" s="214" t="s">
        <v>156</v>
      </c>
      <c r="E167" s="335">
        <f t="shared" si="79"/>
        <v>30.267567567567564</v>
      </c>
      <c r="F167" s="335">
        <v>3.7</v>
      </c>
      <c r="G167" s="335">
        <v>111.99</v>
      </c>
      <c r="H167" s="176"/>
      <c r="I167" s="173"/>
      <c r="J167" s="85"/>
      <c r="K167" s="260"/>
      <c r="L167" s="173"/>
      <c r="M167" s="260"/>
      <c r="N167" s="266"/>
      <c r="O167" s="128"/>
      <c r="P167" s="128"/>
      <c r="Q167" s="88">
        <f t="shared" si="80"/>
        <v>0</v>
      </c>
      <c r="R167" s="85">
        <f t="shared" si="80"/>
        <v>0</v>
      </c>
      <c r="S167" s="86">
        <f t="shared" si="69"/>
        <v>0</v>
      </c>
      <c r="T167" s="224">
        <f t="shared" si="81"/>
        <v>-1</v>
      </c>
      <c r="U167" s="372" t="s">
        <v>394</v>
      </c>
      <c r="V167" s="186"/>
    </row>
    <row r="168" spans="1:22" s="59" customFormat="1" ht="31.5">
      <c r="A168" s="167" t="s">
        <v>269</v>
      </c>
      <c r="B168" s="292" t="s">
        <v>255</v>
      </c>
      <c r="C168" s="205" t="s">
        <v>36</v>
      </c>
      <c r="D168" s="214" t="s">
        <v>156</v>
      </c>
      <c r="E168" s="335">
        <f t="shared" si="79"/>
        <v>28.030364372469634</v>
      </c>
      <c r="F168" s="335">
        <v>4.9400000000000004</v>
      </c>
      <c r="G168" s="335">
        <v>138.47</v>
      </c>
      <c r="H168" s="176"/>
      <c r="I168" s="173"/>
      <c r="J168" s="85"/>
      <c r="K168" s="260"/>
      <c r="L168" s="173"/>
      <c r="M168" s="260"/>
      <c r="N168" s="266"/>
      <c r="O168" s="128"/>
      <c r="P168" s="128"/>
      <c r="Q168" s="88">
        <f t="shared" si="80"/>
        <v>0</v>
      </c>
      <c r="R168" s="85">
        <f t="shared" si="80"/>
        <v>0</v>
      </c>
      <c r="S168" s="86">
        <f t="shared" si="69"/>
        <v>0</v>
      </c>
      <c r="T168" s="224">
        <f t="shared" si="81"/>
        <v>-1</v>
      </c>
      <c r="U168" s="372" t="s">
        <v>393</v>
      </c>
      <c r="V168" s="186"/>
    </row>
    <row r="169" spans="1:22" s="59" customFormat="1" ht="31.5">
      <c r="A169" s="167" t="s">
        <v>270</v>
      </c>
      <c r="B169" s="292" t="s">
        <v>256</v>
      </c>
      <c r="C169" s="205" t="s">
        <v>36</v>
      </c>
      <c r="D169" s="214" t="s">
        <v>156</v>
      </c>
      <c r="E169" s="335">
        <f t="shared" si="79"/>
        <v>31.370967741935484</v>
      </c>
      <c r="F169" s="335">
        <v>3.1</v>
      </c>
      <c r="G169" s="335">
        <v>97.25</v>
      </c>
      <c r="H169" s="176"/>
      <c r="I169" s="173"/>
      <c r="J169" s="85"/>
      <c r="K169" s="260"/>
      <c r="L169" s="173"/>
      <c r="M169" s="260"/>
      <c r="N169" s="266"/>
      <c r="O169" s="128"/>
      <c r="P169" s="128"/>
      <c r="Q169" s="88">
        <f t="shared" si="80"/>
        <v>0</v>
      </c>
      <c r="R169" s="85">
        <f t="shared" si="80"/>
        <v>0</v>
      </c>
      <c r="S169" s="86">
        <f t="shared" si="69"/>
        <v>0</v>
      </c>
      <c r="T169" s="224">
        <f t="shared" si="81"/>
        <v>-1</v>
      </c>
      <c r="U169" s="372" t="s">
        <v>393</v>
      </c>
      <c r="V169" s="186"/>
    </row>
    <row r="170" spans="1:22" s="59" customFormat="1" ht="15.75">
      <c r="A170" s="167"/>
      <c r="B170" s="302" t="s">
        <v>215</v>
      </c>
      <c r="C170" s="205"/>
      <c r="D170" s="160"/>
      <c r="E170" s="338"/>
      <c r="F170" s="336"/>
      <c r="G170" s="339"/>
      <c r="H170" s="176"/>
      <c r="I170" s="173"/>
      <c r="J170" s="85"/>
      <c r="K170" s="260"/>
      <c r="L170" s="173"/>
      <c r="M170" s="260"/>
      <c r="N170" s="266"/>
      <c r="O170" s="128"/>
      <c r="P170" s="128"/>
      <c r="Q170" s="88"/>
      <c r="R170" s="85"/>
      <c r="S170" s="86">
        <f t="shared" si="69"/>
        <v>0</v>
      </c>
      <c r="T170" s="224"/>
      <c r="U170" s="280"/>
      <c r="V170" s="186"/>
    </row>
    <row r="171" spans="1:22" s="59" customFormat="1" ht="31.5">
      <c r="A171" s="167" t="s">
        <v>271</v>
      </c>
      <c r="B171" s="292" t="s">
        <v>257</v>
      </c>
      <c r="C171" s="205" t="s">
        <v>36</v>
      </c>
      <c r="D171" s="214" t="s">
        <v>156</v>
      </c>
      <c r="E171" s="335">
        <f t="shared" si="79"/>
        <v>12.97777777777778</v>
      </c>
      <c r="F171" s="335">
        <v>8.1</v>
      </c>
      <c r="G171" s="335">
        <v>105.12</v>
      </c>
      <c r="H171" s="176"/>
      <c r="I171" s="173"/>
      <c r="J171" s="85"/>
      <c r="K171" s="260"/>
      <c r="L171" s="173"/>
      <c r="M171" s="260"/>
      <c r="N171" s="266"/>
      <c r="O171" s="128"/>
      <c r="P171" s="128"/>
      <c r="Q171" s="88">
        <f>H171-K171</f>
        <v>0</v>
      </c>
      <c r="R171" s="85">
        <f>I171-L171</f>
        <v>0</v>
      </c>
      <c r="S171" s="86">
        <f t="shared" si="69"/>
        <v>0</v>
      </c>
      <c r="T171" s="224">
        <f>(J171-E171)/E171</f>
        <v>-1</v>
      </c>
      <c r="U171" s="372" t="s">
        <v>393</v>
      </c>
      <c r="V171" s="186"/>
    </row>
    <row r="172" spans="1:22" s="59" customFormat="1" ht="15.75">
      <c r="A172" s="167"/>
      <c r="B172" s="302" t="s">
        <v>91</v>
      </c>
      <c r="C172" s="205"/>
      <c r="D172" s="160"/>
      <c r="E172" s="335"/>
      <c r="F172" s="336"/>
      <c r="G172" s="340"/>
      <c r="H172" s="176"/>
      <c r="I172" s="173"/>
      <c r="J172" s="85"/>
      <c r="K172" s="260"/>
      <c r="L172" s="173"/>
      <c r="M172" s="260"/>
      <c r="N172" s="266"/>
      <c r="O172" s="128"/>
      <c r="P172" s="128"/>
      <c r="Q172" s="88"/>
      <c r="R172" s="85"/>
      <c r="S172" s="86">
        <f t="shared" si="69"/>
        <v>0</v>
      </c>
      <c r="T172" s="224"/>
      <c r="U172" s="280"/>
      <c r="V172" s="186"/>
    </row>
    <row r="173" spans="1:22" s="59" customFormat="1" ht="31.5">
      <c r="A173" s="167" t="s">
        <v>272</v>
      </c>
      <c r="B173" s="333" t="s">
        <v>258</v>
      </c>
      <c r="C173" s="205" t="s">
        <v>36</v>
      </c>
      <c r="D173" s="214" t="s">
        <v>156</v>
      </c>
      <c r="E173" s="335">
        <f t="shared" ref="E173:E179" si="82">G173/F173</f>
        <v>30.025948103792416</v>
      </c>
      <c r="F173" s="336">
        <v>5.01</v>
      </c>
      <c r="G173" s="337">
        <v>150.43</v>
      </c>
      <c r="H173" s="176"/>
      <c r="I173" s="173"/>
      <c r="J173" s="85"/>
      <c r="K173" s="260"/>
      <c r="L173" s="173"/>
      <c r="M173" s="260"/>
      <c r="N173" s="266"/>
      <c r="O173" s="128"/>
      <c r="P173" s="128"/>
      <c r="Q173" s="88">
        <f t="shared" ref="Q173:R177" si="83">H173-K173</f>
        <v>0</v>
      </c>
      <c r="R173" s="85">
        <f t="shared" si="83"/>
        <v>0</v>
      </c>
      <c r="S173" s="86">
        <f t="shared" si="69"/>
        <v>0</v>
      </c>
      <c r="T173" s="224">
        <f>(J173-E173)/E173</f>
        <v>-1</v>
      </c>
      <c r="U173" s="372" t="s">
        <v>393</v>
      </c>
      <c r="V173" s="186"/>
    </row>
    <row r="174" spans="1:22" s="59" customFormat="1" ht="31.5">
      <c r="A174" s="167" t="s">
        <v>273</v>
      </c>
      <c r="B174" s="333" t="s">
        <v>259</v>
      </c>
      <c r="C174" s="205" t="s">
        <v>36</v>
      </c>
      <c r="D174" s="214" t="s">
        <v>156</v>
      </c>
      <c r="E174" s="335">
        <f t="shared" si="82"/>
        <v>28.04225352112676</v>
      </c>
      <c r="F174" s="336">
        <v>3.55</v>
      </c>
      <c r="G174" s="337">
        <v>99.55</v>
      </c>
      <c r="H174" s="176"/>
      <c r="I174" s="173"/>
      <c r="J174" s="85"/>
      <c r="K174" s="260"/>
      <c r="L174" s="173"/>
      <c r="M174" s="260"/>
      <c r="N174" s="266"/>
      <c r="O174" s="128"/>
      <c r="P174" s="128"/>
      <c r="Q174" s="88">
        <f t="shared" si="83"/>
        <v>0</v>
      </c>
      <c r="R174" s="85">
        <f t="shared" si="83"/>
        <v>0</v>
      </c>
      <c r="S174" s="86">
        <f t="shared" si="69"/>
        <v>0</v>
      </c>
      <c r="T174" s="224">
        <f>(J174-E174)/E174</f>
        <v>-1</v>
      </c>
      <c r="U174" s="372" t="s">
        <v>393</v>
      </c>
      <c r="V174" s="186"/>
    </row>
    <row r="175" spans="1:22" s="59" customFormat="1" ht="31.5">
      <c r="A175" s="167" t="s">
        <v>274</v>
      </c>
      <c r="B175" s="333" t="s">
        <v>260</v>
      </c>
      <c r="C175" s="205" t="s">
        <v>36</v>
      </c>
      <c r="D175" s="214" t="s">
        <v>156</v>
      </c>
      <c r="E175" s="335">
        <f t="shared" si="82"/>
        <v>28.83230452674897</v>
      </c>
      <c r="F175" s="336">
        <v>3.8879999999999999</v>
      </c>
      <c r="G175" s="337">
        <v>112.1</v>
      </c>
      <c r="H175" s="176"/>
      <c r="I175" s="173"/>
      <c r="J175" s="85"/>
      <c r="K175" s="260"/>
      <c r="L175" s="173"/>
      <c r="M175" s="260"/>
      <c r="N175" s="266"/>
      <c r="O175" s="128"/>
      <c r="P175" s="128"/>
      <c r="Q175" s="88">
        <f t="shared" si="83"/>
        <v>0</v>
      </c>
      <c r="R175" s="85">
        <f t="shared" si="83"/>
        <v>0</v>
      </c>
      <c r="S175" s="86">
        <f t="shared" si="69"/>
        <v>0</v>
      </c>
      <c r="T175" s="224">
        <f>(J175-E175)/E175</f>
        <v>-1</v>
      </c>
      <c r="U175" s="372" t="s">
        <v>393</v>
      </c>
      <c r="V175" s="186"/>
    </row>
    <row r="176" spans="1:22" s="59" customFormat="1" ht="31.5">
      <c r="A176" s="167" t="s">
        <v>275</v>
      </c>
      <c r="B176" s="333" t="s">
        <v>261</v>
      </c>
      <c r="C176" s="205" t="s">
        <v>36</v>
      </c>
      <c r="D176" s="214" t="s">
        <v>156</v>
      </c>
      <c r="E176" s="335">
        <f t="shared" si="82"/>
        <v>27.050545094152625</v>
      </c>
      <c r="F176" s="336">
        <v>5.0449999999999999</v>
      </c>
      <c r="G176" s="337">
        <v>136.47</v>
      </c>
      <c r="H176" s="176"/>
      <c r="I176" s="173"/>
      <c r="J176" s="85"/>
      <c r="K176" s="260"/>
      <c r="L176" s="173"/>
      <c r="M176" s="260"/>
      <c r="N176" s="266"/>
      <c r="O176" s="128"/>
      <c r="P176" s="128"/>
      <c r="Q176" s="88">
        <f t="shared" si="83"/>
        <v>0</v>
      </c>
      <c r="R176" s="85">
        <f t="shared" si="83"/>
        <v>0</v>
      </c>
      <c r="S176" s="86">
        <f t="shared" si="69"/>
        <v>0</v>
      </c>
      <c r="T176" s="224">
        <f>(J176-E176)/E176</f>
        <v>-1</v>
      </c>
      <c r="U176" s="372" t="s">
        <v>393</v>
      </c>
      <c r="V176" s="186"/>
    </row>
    <row r="177" spans="1:22" s="59" customFormat="1" ht="31.5">
      <c r="A177" s="167" t="s">
        <v>276</v>
      </c>
      <c r="B177" s="333" t="s">
        <v>262</v>
      </c>
      <c r="C177" s="205" t="s">
        <v>36</v>
      </c>
      <c r="D177" s="214" t="s">
        <v>156</v>
      </c>
      <c r="E177" s="335">
        <f t="shared" si="82"/>
        <v>27.920614596670937</v>
      </c>
      <c r="F177" s="336">
        <v>3.9049999999999998</v>
      </c>
      <c r="G177" s="337">
        <v>109.03</v>
      </c>
      <c r="H177" s="176"/>
      <c r="I177" s="173"/>
      <c r="J177" s="85"/>
      <c r="K177" s="260"/>
      <c r="L177" s="173"/>
      <c r="M177" s="260"/>
      <c r="N177" s="266"/>
      <c r="O177" s="128"/>
      <c r="P177" s="128"/>
      <c r="Q177" s="88">
        <f t="shared" si="83"/>
        <v>0</v>
      </c>
      <c r="R177" s="85">
        <f t="shared" si="83"/>
        <v>0</v>
      </c>
      <c r="S177" s="86">
        <f t="shared" si="69"/>
        <v>0</v>
      </c>
      <c r="T177" s="224">
        <f>(J177-E177)/E177</f>
        <v>-1</v>
      </c>
      <c r="U177" s="372" t="s">
        <v>393</v>
      </c>
      <c r="V177" s="186"/>
    </row>
    <row r="178" spans="1:22" s="59" customFormat="1" ht="15.75">
      <c r="A178" s="167"/>
      <c r="B178" s="302" t="s">
        <v>92</v>
      </c>
      <c r="C178" s="205"/>
      <c r="D178" s="160"/>
      <c r="E178" s="335"/>
      <c r="F178" s="336"/>
      <c r="G178" s="337"/>
      <c r="H178" s="176"/>
      <c r="I178" s="173"/>
      <c r="J178" s="85"/>
      <c r="K178" s="260"/>
      <c r="L178" s="173"/>
      <c r="M178" s="260"/>
      <c r="N178" s="266"/>
      <c r="O178" s="128"/>
      <c r="P178" s="128"/>
      <c r="Q178" s="88"/>
      <c r="R178" s="85"/>
      <c r="S178" s="86">
        <f t="shared" si="69"/>
        <v>0</v>
      </c>
      <c r="T178" s="224"/>
      <c r="U178" s="280"/>
      <c r="V178" s="186"/>
    </row>
    <row r="179" spans="1:22" s="59" customFormat="1" ht="31.5">
      <c r="A179" s="167" t="s">
        <v>277</v>
      </c>
      <c r="B179" s="334" t="s">
        <v>263</v>
      </c>
      <c r="C179" s="205" t="s">
        <v>36</v>
      </c>
      <c r="D179" s="214" t="s">
        <v>156</v>
      </c>
      <c r="E179" s="335">
        <f t="shared" si="82"/>
        <v>47.990916377237511</v>
      </c>
      <c r="F179" s="336">
        <v>3.7429999999999999</v>
      </c>
      <c r="G179" s="337">
        <v>179.63</v>
      </c>
      <c r="H179" s="176"/>
      <c r="I179" s="173"/>
      <c r="J179" s="85"/>
      <c r="K179" s="260"/>
      <c r="L179" s="173"/>
      <c r="M179" s="260"/>
      <c r="N179" s="266"/>
      <c r="O179" s="128"/>
      <c r="P179" s="128"/>
      <c r="Q179" s="88">
        <f t="shared" ref="Q179:Q191" si="84">H179-K179</f>
        <v>0</v>
      </c>
      <c r="R179" s="85">
        <f t="shared" ref="R179:R191" si="85">I179-L179</f>
        <v>0</v>
      </c>
      <c r="S179" s="86">
        <f t="shared" si="69"/>
        <v>0</v>
      </c>
      <c r="T179" s="224">
        <f t="shared" ref="T179:T191" si="86">(J179-E179)/E179</f>
        <v>-1</v>
      </c>
      <c r="U179" s="372" t="s">
        <v>393</v>
      </c>
      <c r="V179" s="186"/>
    </row>
    <row r="180" spans="1:22" s="59" customFormat="1" ht="15.75">
      <c r="A180" s="199" t="s">
        <v>131</v>
      </c>
      <c r="B180" s="332" t="s">
        <v>130</v>
      </c>
      <c r="C180" s="170" t="s">
        <v>37</v>
      </c>
      <c r="D180" s="273" t="s">
        <v>156</v>
      </c>
      <c r="E180" s="206">
        <f>G180/F180</f>
        <v>2451.7733333333331</v>
      </c>
      <c r="F180" s="202">
        <f>SUM(F181:F183)</f>
        <v>3</v>
      </c>
      <c r="G180" s="203">
        <f>SUM(G181:G183)</f>
        <v>7355.32</v>
      </c>
      <c r="H180" s="202">
        <f t="shared" ref="H180:I180" si="87">SUM(H181:H183)</f>
        <v>2</v>
      </c>
      <c r="I180" s="203">
        <f t="shared" si="87"/>
        <v>509.16999999999996</v>
      </c>
      <c r="J180" s="150"/>
      <c r="K180" s="213"/>
      <c r="L180" s="150">
        <f>L183+L182+L181</f>
        <v>3416.666666666667</v>
      </c>
      <c r="M180" s="213"/>
      <c r="N180" s="203"/>
      <c r="O180" s="168"/>
      <c r="P180" s="168"/>
      <c r="Q180" s="230">
        <f t="shared" si="84"/>
        <v>2</v>
      </c>
      <c r="R180" s="86">
        <f t="shared" si="85"/>
        <v>-2907.4966666666669</v>
      </c>
      <c r="S180" s="86">
        <f t="shared" si="69"/>
        <v>2907.4966666666669</v>
      </c>
      <c r="T180" s="223">
        <f t="shared" si="86"/>
        <v>-1</v>
      </c>
      <c r="U180" s="189"/>
      <c r="V180" s="61"/>
    </row>
    <row r="181" spans="1:22" s="59" customFormat="1" ht="47.25">
      <c r="A181" s="167" t="s">
        <v>93</v>
      </c>
      <c r="B181" s="292" t="s">
        <v>278</v>
      </c>
      <c r="C181" s="64" t="s">
        <v>37</v>
      </c>
      <c r="D181" s="214" t="s">
        <v>156</v>
      </c>
      <c r="E181" s="175">
        <f t="shared" ref="E181:E183" si="88">G181/F181</f>
        <v>276.83</v>
      </c>
      <c r="F181" s="179">
        <v>1</v>
      </c>
      <c r="G181" s="161">
        <v>276.83</v>
      </c>
      <c r="H181" s="129">
        <v>1</v>
      </c>
      <c r="I181" s="89">
        <v>276.83</v>
      </c>
      <c r="J181" s="85"/>
      <c r="K181" s="129"/>
      <c r="L181" s="85"/>
      <c r="M181" s="129"/>
      <c r="N181" s="89"/>
      <c r="O181" s="128"/>
      <c r="P181" s="128"/>
      <c r="Q181" s="88">
        <f t="shared" si="84"/>
        <v>1</v>
      </c>
      <c r="R181" s="85">
        <f t="shared" si="85"/>
        <v>276.83</v>
      </c>
      <c r="S181" s="86">
        <f t="shared" si="69"/>
        <v>-276.83</v>
      </c>
      <c r="T181" s="224">
        <f t="shared" si="86"/>
        <v>-1</v>
      </c>
      <c r="U181" s="374" t="s">
        <v>395</v>
      </c>
      <c r="V181" s="186"/>
    </row>
    <row r="182" spans="1:22" s="59" customFormat="1" ht="47.25">
      <c r="A182" s="167" t="s">
        <v>281</v>
      </c>
      <c r="B182" s="292" t="s">
        <v>279</v>
      </c>
      <c r="C182" s="64" t="s">
        <v>37</v>
      </c>
      <c r="D182" s="214" t="s">
        <v>156</v>
      </c>
      <c r="E182" s="175">
        <f t="shared" si="88"/>
        <v>232.34</v>
      </c>
      <c r="F182" s="179">
        <v>1</v>
      </c>
      <c r="G182" s="161">
        <v>232.34</v>
      </c>
      <c r="H182" s="176">
        <v>1</v>
      </c>
      <c r="I182" s="173">
        <v>232.34</v>
      </c>
      <c r="J182" s="175"/>
      <c r="K182" s="258"/>
      <c r="L182" s="173"/>
      <c r="M182" s="258"/>
      <c r="N182" s="266"/>
      <c r="O182" s="128"/>
      <c r="P182" s="128"/>
      <c r="Q182" s="88">
        <f t="shared" si="84"/>
        <v>1</v>
      </c>
      <c r="R182" s="85">
        <f t="shared" si="85"/>
        <v>232.34</v>
      </c>
      <c r="S182" s="86">
        <f t="shared" si="69"/>
        <v>-232.34</v>
      </c>
      <c r="T182" s="224">
        <f t="shared" si="86"/>
        <v>-1</v>
      </c>
      <c r="U182" s="374" t="s">
        <v>395</v>
      </c>
      <c r="V182" s="186"/>
    </row>
    <row r="183" spans="1:22" s="59" customFormat="1" ht="25.5">
      <c r="A183" s="167" t="s">
        <v>282</v>
      </c>
      <c r="B183" s="292" t="s">
        <v>280</v>
      </c>
      <c r="C183" s="64" t="s">
        <v>37</v>
      </c>
      <c r="D183" s="214" t="s">
        <v>156</v>
      </c>
      <c r="E183" s="175">
        <f t="shared" si="88"/>
        <v>6846.15</v>
      </c>
      <c r="F183" s="179">
        <v>1</v>
      </c>
      <c r="G183" s="161">
        <v>6846.15</v>
      </c>
      <c r="H183" s="176"/>
      <c r="I183" s="177"/>
      <c r="J183" s="175"/>
      <c r="K183" s="179"/>
      <c r="L183" s="412">
        <f>4100/1.2</f>
        <v>3416.666666666667</v>
      </c>
      <c r="M183" s="258"/>
      <c r="N183" s="266"/>
      <c r="O183" s="269"/>
      <c r="P183" s="269"/>
      <c r="Q183" s="88">
        <f t="shared" si="84"/>
        <v>0</v>
      </c>
      <c r="R183" s="85">
        <f t="shared" si="85"/>
        <v>-3416.666666666667</v>
      </c>
      <c r="S183" s="86">
        <f t="shared" si="69"/>
        <v>3416.666666666667</v>
      </c>
      <c r="T183" s="224">
        <f t="shared" si="86"/>
        <v>-1</v>
      </c>
      <c r="U183" s="372" t="s">
        <v>396</v>
      </c>
      <c r="V183" s="186"/>
    </row>
    <row r="184" spans="1:22" s="59" customFormat="1" ht="31.5">
      <c r="A184" s="199" t="s">
        <v>133</v>
      </c>
      <c r="B184" s="246" t="s">
        <v>283</v>
      </c>
      <c r="C184" s="249" t="s">
        <v>36</v>
      </c>
      <c r="D184" s="273" t="s">
        <v>156</v>
      </c>
      <c r="E184" s="206">
        <f>G184/F184</f>
        <v>558.75352112676057</v>
      </c>
      <c r="F184" s="228">
        <f>SUM(F185:F190)</f>
        <v>9.9400000000000013</v>
      </c>
      <c r="G184" s="208">
        <f>SUM(G185:G190)</f>
        <v>5554.0100000000011</v>
      </c>
      <c r="H184" s="228">
        <f t="shared" ref="H184:I184" si="89">SUM(H185:H190)</f>
        <v>3.544</v>
      </c>
      <c r="I184" s="208">
        <f t="shared" si="89"/>
        <v>1275.43</v>
      </c>
      <c r="J184" s="206">
        <f>L184/K184</f>
        <v>364.90838772057043</v>
      </c>
      <c r="K184" s="228">
        <f>SUM(K185:K190)</f>
        <v>4.1370000000000005</v>
      </c>
      <c r="L184" s="208">
        <f>SUM(L185:L190)</f>
        <v>1509.626</v>
      </c>
      <c r="M184" s="228">
        <f>SUM(M185:M190)</f>
        <v>4.1370000000000005</v>
      </c>
      <c r="N184" s="208">
        <f>SUM(N185:N190)</f>
        <v>1509.626</v>
      </c>
      <c r="O184" s="168"/>
      <c r="P184" s="168"/>
      <c r="Q184" s="231">
        <f t="shared" si="84"/>
        <v>-0.59300000000000042</v>
      </c>
      <c r="R184" s="86">
        <f t="shared" si="85"/>
        <v>-234.19599999999991</v>
      </c>
      <c r="S184" s="86">
        <f t="shared" si="69"/>
        <v>234.19599999999991</v>
      </c>
      <c r="T184" s="223">
        <f t="shared" si="86"/>
        <v>-0.34692422701030967</v>
      </c>
      <c r="U184" s="222"/>
      <c r="V184" s="169"/>
    </row>
    <row r="185" spans="1:22" s="59" customFormat="1" ht="47.25">
      <c r="A185" s="167" t="s">
        <v>135</v>
      </c>
      <c r="B185" s="341" t="s">
        <v>284</v>
      </c>
      <c r="C185" s="205" t="s">
        <v>36</v>
      </c>
      <c r="D185" s="214" t="s">
        <v>156</v>
      </c>
      <c r="E185" s="175">
        <f t="shared" ref="E185:E190" si="90">G185/F185</f>
        <v>505.88499550763703</v>
      </c>
      <c r="F185" s="164">
        <v>3.339</v>
      </c>
      <c r="G185" s="161">
        <v>1689.15</v>
      </c>
      <c r="H185" s="232"/>
      <c r="I185" s="209"/>
      <c r="J185" s="209"/>
      <c r="K185" s="232"/>
      <c r="L185" s="209"/>
      <c r="M185" s="232"/>
      <c r="N185" s="267"/>
      <c r="O185" s="168"/>
      <c r="P185" s="168"/>
      <c r="Q185" s="233">
        <f t="shared" si="84"/>
        <v>0</v>
      </c>
      <c r="R185" s="85">
        <f t="shared" si="85"/>
        <v>0</v>
      </c>
      <c r="S185" s="86">
        <f t="shared" si="69"/>
        <v>0</v>
      </c>
      <c r="T185" s="224">
        <f t="shared" si="86"/>
        <v>-1</v>
      </c>
      <c r="U185" s="373" t="s">
        <v>386</v>
      </c>
      <c r="V185" s="169"/>
    </row>
    <row r="186" spans="1:22" s="59" customFormat="1" ht="63">
      <c r="A186" s="167" t="s">
        <v>136</v>
      </c>
      <c r="B186" s="334" t="s">
        <v>285</v>
      </c>
      <c r="C186" s="205" t="s">
        <v>36</v>
      </c>
      <c r="D186" s="214" t="s">
        <v>156</v>
      </c>
      <c r="E186" s="175">
        <f t="shared" si="90"/>
        <v>1087.4019607843138</v>
      </c>
      <c r="F186" s="164">
        <v>1.02</v>
      </c>
      <c r="G186" s="161">
        <v>1109.1500000000001</v>
      </c>
      <c r="H186" s="232"/>
      <c r="I186" s="209"/>
      <c r="J186" s="209"/>
      <c r="K186" s="232"/>
      <c r="L186" s="209"/>
      <c r="M186" s="232"/>
      <c r="N186" s="267"/>
      <c r="O186" s="168"/>
      <c r="P186" s="168"/>
      <c r="Q186" s="233">
        <f t="shared" si="84"/>
        <v>0</v>
      </c>
      <c r="R186" s="85">
        <f t="shared" si="85"/>
        <v>0</v>
      </c>
      <c r="S186" s="86">
        <f t="shared" si="69"/>
        <v>0</v>
      </c>
      <c r="T186" s="224">
        <f t="shared" si="86"/>
        <v>-1</v>
      </c>
      <c r="U186" s="373" t="s">
        <v>391</v>
      </c>
      <c r="V186" s="169"/>
    </row>
    <row r="187" spans="1:22" s="59" customFormat="1" ht="47.25">
      <c r="A187" s="167" t="s">
        <v>137</v>
      </c>
      <c r="B187" s="341" t="s">
        <v>286</v>
      </c>
      <c r="C187" s="205" t="s">
        <v>36</v>
      </c>
      <c r="D187" s="214" t="s">
        <v>156</v>
      </c>
      <c r="E187" s="175">
        <f t="shared" si="90"/>
        <v>359.88431151241537</v>
      </c>
      <c r="F187" s="164">
        <v>3.544</v>
      </c>
      <c r="G187" s="161">
        <v>1275.43</v>
      </c>
      <c r="H187" s="164">
        <v>3.544</v>
      </c>
      <c r="I187" s="173">
        <v>1275.43</v>
      </c>
      <c r="J187" s="411">
        <f t="shared" ref="J187:J190" si="91">L187/K187</f>
        <v>367.56190476190477</v>
      </c>
      <c r="K187" s="403">
        <v>2.1</v>
      </c>
      <c r="L187" s="412">
        <f>926.256/1.2</f>
        <v>771.88</v>
      </c>
      <c r="M187" s="403">
        <v>2.1</v>
      </c>
      <c r="N187" s="412">
        <f>926.256/1.2</f>
        <v>771.88</v>
      </c>
      <c r="O187" s="214" t="s">
        <v>156</v>
      </c>
      <c r="P187" s="168"/>
      <c r="Q187" s="233">
        <f t="shared" si="84"/>
        <v>1.444</v>
      </c>
      <c r="R187" s="85">
        <f t="shared" si="85"/>
        <v>503.55000000000007</v>
      </c>
      <c r="S187" s="86">
        <f t="shared" si="69"/>
        <v>-503.55000000000007</v>
      </c>
      <c r="T187" s="224">
        <f t="shared" si="86"/>
        <v>2.1333503584038679E-2</v>
      </c>
      <c r="U187" s="373" t="s">
        <v>386</v>
      </c>
      <c r="V187" s="169"/>
    </row>
    <row r="188" spans="1:22" s="59" customFormat="1" ht="63">
      <c r="A188" s="167" t="s">
        <v>290</v>
      </c>
      <c r="B188" s="341" t="s">
        <v>287</v>
      </c>
      <c r="C188" s="205" t="s">
        <v>36</v>
      </c>
      <c r="D188" s="214" t="s">
        <v>156</v>
      </c>
      <c r="E188" s="175">
        <f t="shared" si="90"/>
        <v>6256.2992125984247</v>
      </c>
      <c r="F188" s="164">
        <v>0.127</v>
      </c>
      <c r="G188" s="161">
        <v>794.55</v>
      </c>
      <c r="H188" s="232"/>
      <c r="I188" s="209"/>
      <c r="J188" s="411">
        <f t="shared" si="91"/>
        <v>1091.464566929134</v>
      </c>
      <c r="K188" s="403">
        <v>0.127</v>
      </c>
      <c r="L188" s="412">
        <f>166.3392/1.2</f>
        <v>138.61600000000001</v>
      </c>
      <c r="M188" s="403">
        <v>0.127</v>
      </c>
      <c r="N188" s="412">
        <f>166.3392/1.2</f>
        <v>138.61600000000001</v>
      </c>
      <c r="O188" s="214" t="s">
        <v>156</v>
      </c>
      <c r="P188" s="168"/>
      <c r="Q188" s="233">
        <f t="shared" si="84"/>
        <v>-0.127</v>
      </c>
      <c r="R188" s="85">
        <f t="shared" si="85"/>
        <v>-138.61600000000001</v>
      </c>
      <c r="S188" s="86">
        <f t="shared" si="69"/>
        <v>138.61600000000001</v>
      </c>
      <c r="T188" s="224">
        <f t="shared" si="86"/>
        <v>-0.82554150147882444</v>
      </c>
      <c r="U188" s="373" t="s">
        <v>385</v>
      </c>
      <c r="V188" s="169"/>
    </row>
    <row r="189" spans="1:22" s="59" customFormat="1" ht="47.25">
      <c r="A189" s="167" t="s">
        <v>291</v>
      </c>
      <c r="B189" s="341" t="s">
        <v>288</v>
      </c>
      <c r="C189" s="205" t="s">
        <v>36</v>
      </c>
      <c r="D189" s="214" t="s">
        <v>156</v>
      </c>
      <c r="E189" s="175">
        <f t="shared" si="90"/>
        <v>424.13114754098365</v>
      </c>
      <c r="F189" s="164">
        <v>0.61</v>
      </c>
      <c r="G189" s="161">
        <v>258.72000000000003</v>
      </c>
      <c r="H189" s="232"/>
      <c r="I189" s="209"/>
      <c r="J189" s="411">
        <f t="shared" si="91"/>
        <v>286.33770491803278</v>
      </c>
      <c r="K189" s="403">
        <v>0.61</v>
      </c>
      <c r="L189" s="412">
        <v>174.666</v>
      </c>
      <c r="M189" s="403">
        <v>0.61</v>
      </c>
      <c r="N189" s="412">
        <v>174.666</v>
      </c>
      <c r="O189" s="214" t="s">
        <v>156</v>
      </c>
      <c r="P189" s="168"/>
      <c r="Q189" s="233">
        <f t="shared" si="84"/>
        <v>-0.61</v>
      </c>
      <c r="R189" s="85">
        <f t="shared" si="85"/>
        <v>-174.666</v>
      </c>
      <c r="S189" s="86">
        <f t="shared" si="69"/>
        <v>174.666</v>
      </c>
      <c r="T189" s="224">
        <f t="shared" si="86"/>
        <v>-0.32488404452690173</v>
      </c>
      <c r="U189" s="373" t="s">
        <v>385</v>
      </c>
      <c r="V189" s="169"/>
    </row>
    <row r="190" spans="1:22" s="59" customFormat="1" ht="47.25">
      <c r="A190" s="167" t="s">
        <v>292</v>
      </c>
      <c r="B190" s="341" t="s">
        <v>289</v>
      </c>
      <c r="C190" s="205" t="s">
        <v>36</v>
      </c>
      <c r="D190" s="214" t="s">
        <v>156</v>
      </c>
      <c r="E190" s="175">
        <f t="shared" si="90"/>
        <v>328.46923076923076</v>
      </c>
      <c r="F190" s="164">
        <v>1.3</v>
      </c>
      <c r="G190" s="161">
        <v>427.01</v>
      </c>
      <c r="H190" s="232"/>
      <c r="I190" s="209"/>
      <c r="J190" s="411">
        <f t="shared" si="91"/>
        <v>326.5107692307692</v>
      </c>
      <c r="K190" s="403">
        <v>1.3</v>
      </c>
      <c r="L190" s="412">
        <v>424.464</v>
      </c>
      <c r="M190" s="403">
        <v>1.3</v>
      </c>
      <c r="N190" s="412">
        <v>424.464</v>
      </c>
      <c r="O190" s="214" t="s">
        <v>156</v>
      </c>
      <c r="P190" s="128" t="s">
        <v>425</v>
      </c>
      <c r="Q190" s="233">
        <f t="shared" si="84"/>
        <v>-1.3</v>
      </c>
      <c r="R190" s="85">
        <f t="shared" si="85"/>
        <v>-424.464</v>
      </c>
      <c r="S190" s="86">
        <f t="shared" si="69"/>
        <v>424.464</v>
      </c>
      <c r="T190" s="224">
        <f t="shared" si="86"/>
        <v>-5.9623896395869704E-3</v>
      </c>
      <c r="U190" s="373" t="s">
        <v>385</v>
      </c>
      <c r="V190" s="169"/>
    </row>
    <row r="191" spans="1:22" s="59" customFormat="1" ht="31.5">
      <c r="A191" s="195" t="s">
        <v>138</v>
      </c>
      <c r="B191" s="246" t="s">
        <v>73</v>
      </c>
      <c r="C191" s="249" t="s">
        <v>36</v>
      </c>
      <c r="D191" s="273" t="s">
        <v>156</v>
      </c>
      <c r="E191" s="206">
        <f>G191/F191</f>
        <v>1021.5204527913558</v>
      </c>
      <c r="F191" s="344">
        <f>SUM(F193:F198)</f>
        <v>3.887</v>
      </c>
      <c r="G191" s="204">
        <f>SUM(G193:G198)</f>
        <v>3970.6499999999996</v>
      </c>
      <c r="H191" s="204"/>
      <c r="I191" s="204"/>
      <c r="J191" s="206">
        <f>L191/K191</f>
        <v>5062.993928571429</v>
      </c>
      <c r="K191" s="344">
        <f>SUM(K193:K198)</f>
        <v>0.55999999999999994</v>
      </c>
      <c r="L191" s="204">
        <f>SUM(L193:L198)</f>
        <v>2835.2766000000001</v>
      </c>
      <c r="M191" s="344">
        <f>SUM(M193:M198)</f>
        <v>0.55999999999999994</v>
      </c>
      <c r="N191" s="204">
        <f>SUM(N193:N198)</f>
        <v>784.75</v>
      </c>
      <c r="O191" s="168"/>
      <c r="P191" s="281"/>
      <c r="Q191" s="231">
        <f t="shared" si="84"/>
        <v>-0.55999999999999994</v>
      </c>
      <c r="R191" s="86">
        <f t="shared" si="85"/>
        <v>-2835.2766000000001</v>
      </c>
      <c r="S191" s="86">
        <f t="shared" si="69"/>
        <v>2835.2766000000001</v>
      </c>
      <c r="T191" s="223">
        <f t="shared" si="86"/>
        <v>3.9563314319713765</v>
      </c>
      <c r="U191" s="280"/>
      <c r="V191" s="169"/>
    </row>
    <row r="192" spans="1:22" s="59" customFormat="1" ht="15.75">
      <c r="A192" s="195"/>
      <c r="B192" s="302" t="s">
        <v>92</v>
      </c>
      <c r="C192" s="195"/>
      <c r="D192" s="273"/>
      <c r="E192" s="206"/>
      <c r="F192" s="207"/>
      <c r="G192" s="204"/>
      <c r="H192" s="207"/>
      <c r="I192" s="204"/>
      <c r="J192" s="150"/>
      <c r="K192" s="202"/>
      <c r="L192" s="204"/>
      <c r="M192" s="202"/>
      <c r="N192" s="204"/>
      <c r="O192" s="168"/>
      <c r="P192" s="281"/>
      <c r="Q192" s="231"/>
      <c r="R192" s="86"/>
      <c r="S192" s="86">
        <f t="shared" si="69"/>
        <v>0</v>
      </c>
      <c r="T192" s="223"/>
      <c r="U192" s="280"/>
      <c r="V192" s="169"/>
    </row>
    <row r="193" spans="1:22" s="59" customFormat="1" ht="45">
      <c r="A193" s="167" t="s">
        <v>297</v>
      </c>
      <c r="B193" s="342" t="s">
        <v>293</v>
      </c>
      <c r="C193" s="205" t="s">
        <v>36</v>
      </c>
      <c r="D193" s="214" t="s">
        <v>156</v>
      </c>
      <c r="E193" s="177">
        <f>G193/F193</f>
        <v>810.83510638297867</v>
      </c>
      <c r="F193" s="164">
        <v>1.88</v>
      </c>
      <c r="G193" s="161">
        <v>1524.37</v>
      </c>
      <c r="H193" s="207"/>
      <c r="I193" s="204"/>
      <c r="J193" s="150"/>
      <c r="K193" s="202"/>
      <c r="L193" s="413">
        <f>1276.8/1.2</f>
        <v>1064</v>
      </c>
      <c r="M193" s="202"/>
      <c r="N193" s="204"/>
      <c r="O193" s="168"/>
      <c r="P193" s="281"/>
      <c r="Q193" s="233">
        <f>H193-K193</f>
        <v>0</v>
      </c>
      <c r="R193" s="85">
        <f>I193-L193</f>
        <v>-1064</v>
      </c>
      <c r="S193" s="86">
        <f t="shared" si="69"/>
        <v>1064</v>
      </c>
      <c r="T193" s="224">
        <f>(J193-E193)/E193</f>
        <v>-1</v>
      </c>
      <c r="U193" s="374" t="s">
        <v>397</v>
      </c>
      <c r="V193" s="169"/>
    </row>
    <row r="194" spans="1:22" s="59" customFormat="1" ht="60">
      <c r="A194" s="167" t="s">
        <v>298</v>
      </c>
      <c r="B194" s="342" t="s">
        <v>294</v>
      </c>
      <c r="C194" s="205" t="s">
        <v>36</v>
      </c>
      <c r="D194" s="214" t="s">
        <v>156</v>
      </c>
      <c r="E194" s="177">
        <f>G194/F194</f>
        <v>1142.7643400138215</v>
      </c>
      <c r="F194" s="164">
        <v>1.4470000000000001</v>
      </c>
      <c r="G194" s="343">
        <v>1653.58</v>
      </c>
      <c r="H194" s="207"/>
      <c r="I194" s="204"/>
      <c r="J194" s="387"/>
      <c r="K194" s="403"/>
      <c r="L194" s="413">
        <f>1183.83192/1.2</f>
        <v>986.52660000000014</v>
      </c>
      <c r="M194" s="414"/>
      <c r="N194" s="415"/>
      <c r="O194" s="168"/>
      <c r="P194" s="281"/>
      <c r="Q194" s="233">
        <f>H194-K194</f>
        <v>0</v>
      </c>
      <c r="R194" s="85">
        <f>I194-L194</f>
        <v>-986.52660000000014</v>
      </c>
      <c r="S194" s="86">
        <f t="shared" si="69"/>
        <v>986.52660000000014</v>
      </c>
      <c r="T194" s="224">
        <f>(J194-E194)/E194</f>
        <v>-1</v>
      </c>
      <c r="U194" s="374" t="s">
        <v>395</v>
      </c>
      <c r="V194" s="169"/>
    </row>
    <row r="195" spans="1:22" s="59" customFormat="1" ht="15.75">
      <c r="A195" s="195"/>
      <c r="B195" s="302" t="s">
        <v>89</v>
      </c>
      <c r="C195" s="195"/>
      <c r="D195" s="273"/>
      <c r="E195" s="177"/>
      <c r="F195" s="164"/>
      <c r="G195" s="161"/>
      <c r="H195" s="207"/>
      <c r="I195" s="204"/>
      <c r="J195" s="416"/>
      <c r="K195" s="414"/>
      <c r="L195" s="415"/>
      <c r="M195" s="414"/>
      <c r="N195" s="415"/>
      <c r="O195" s="168"/>
      <c r="P195" s="168"/>
      <c r="Q195" s="233"/>
      <c r="R195" s="85"/>
      <c r="S195" s="86">
        <f t="shared" si="69"/>
        <v>0</v>
      </c>
      <c r="T195" s="224"/>
      <c r="U195" s="374"/>
      <c r="V195" s="169"/>
    </row>
    <row r="196" spans="1:22" s="59" customFormat="1" ht="47.25">
      <c r="A196" s="167" t="s">
        <v>299</v>
      </c>
      <c r="B196" s="292" t="s">
        <v>295</v>
      </c>
      <c r="C196" s="205" t="s">
        <v>36</v>
      </c>
      <c r="D196" s="214" t="s">
        <v>156</v>
      </c>
      <c r="E196" s="177">
        <f t="shared" ref="E196:E198" si="92">G196/F196</f>
        <v>1448.0285714285715</v>
      </c>
      <c r="F196" s="164">
        <v>0.35</v>
      </c>
      <c r="G196" s="161">
        <v>506.81</v>
      </c>
      <c r="H196" s="207"/>
      <c r="I196" s="204"/>
      <c r="J196" s="387">
        <f t="shared" ref="J196" si="93">L196/K196</f>
        <v>1438.5714285714287</v>
      </c>
      <c r="K196" s="403">
        <v>0.35</v>
      </c>
      <c r="L196" s="412">
        <v>503.5</v>
      </c>
      <c r="M196" s="403">
        <v>0.35</v>
      </c>
      <c r="N196" s="412">
        <v>503.5</v>
      </c>
      <c r="O196" s="214" t="s">
        <v>156</v>
      </c>
      <c r="P196" s="128" t="s">
        <v>426</v>
      </c>
      <c r="Q196" s="233">
        <f>H196-K196</f>
        <v>-0.35</v>
      </c>
      <c r="R196" s="85">
        <f>I196-L196</f>
        <v>-503.5</v>
      </c>
      <c r="S196" s="86">
        <f t="shared" si="69"/>
        <v>503.5</v>
      </c>
      <c r="T196" s="224">
        <f>(J196-E196)/E196</f>
        <v>-6.5310471379806624E-3</v>
      </c>
      <c r="U196" s="374" t="s">
        <v>397</v>
      </c>
      <c r="V196" s="169"/>
    </row>
    <row r="197" spans="1:22" s="59" customFormat="1" ht="15.75">
      <c r="A197" s="195"/>
      <c r="B197" s="302" t="s">
        <v>207</v>
      </c>
      <c r="C197" s="195"/>
      <c r="D197" s="273"/>
      <c r="E197" s="177"/>
      <c r="F197" s="164"/>
      <c r="G197" s="161"/>
      <c r="H197" s="207"/>
      <c r="I197" s="204"/>
      <c r="J197" s="416"/>
      <c r="K197" s="414"/>
      <c r="L197" s="415"/>
      <c r="M197" s="414"/>
      <c r="N197" s="417"/>
      <c r="O197" s="273"/>
      <c r="P197" s="128"/>
      <c r="Q197" s="233"/>
      <c r="R197" s="85"/>
      <c r="S197" s="86">
        <f t="shared" si="69"/>
        <v>0</v>
      </c>
      <c r="T197" s="224"/>
      <c r="U197" s="374"/>
      <c r="V197" s="169"/>
    </row>
    <row r="198" spans="1:22" s="59" customFormat="1" ht="47.25">
      <c r="A198" s="167" t="s">
        <v>300</v>
      </c>
      <c r="B198" s="292" t="s">
        <v>296</v>
      </c>
      <c r="C198" s="205" t="s">
        <v>36</v>
      </c>
      <c r="D198" s="214" t="s">
        <v>156</v>
      </c>
      <c r="E198" s="177">
        <f t="shared" si="92"/>
        <v>1361.3809523809523</v>
      </c>
      <c r="F198" s="164">
        <v>0.21</v>
      </c>
      <c r="G198" s="161">
        <v>285.89</v>
      </c>
      <c r="H198" s="207"/>
      <c r="I198" s="204"/>
      <c r="J198" s="387">
        <f t="shared" ref="J198" si="94">L198/K198</f>
        <v>1339.2857142857144</v>
      </c>
      <c r="K198" s="403">
        <v>0.21</v>
      </c>
      <c r="L198" s="412">
        <v>281.25</v>
      </c>
      <c r="M198" s="403">
        <v>0.21</v>
      </c>
      <c r="N198" s="412">
        <v>281.25</v>
      </c>
      <c r="O198" s="214" t="s">
        <v>156</v>
      </c>
      <c r="P198" s="128" t="s">
        <v>427</v>
      </c>
      <c r="Q198" s="233">
        <f>H198-K198</f>
        <v>-0.21</v>
      </c>
      <c r="R198" s="85">
        <f>I198-L198</f>
        <v>-281.25</v>
      </c>
      <c r="S198" s="86">
        <f t="shared" si="69"/>
        <v>281.25</v>
      </c>
      <c r="T198" s="224">
        <f>(J198-E198)/E198</f>
        <v>-1.6230018538598581E-2</v>
      </c>
      <c r="U198" s="374" t="s">
        <v>397</v>
      </c>
      <c r="V198" s="169"/>
    </row>
    <row r="199" spans="1:22" s="59" customFormat="1" ht="15.75">
      <c r="A199" s="195" t="s">
        <v>139</v>
      </c>
      <c r="B199" s="246" t="s">
        <v>301</v>
      </c>
      <c r="C199" s="249" t="s">
        <v>36</v>
      </c>
      <c r="D199" s="273" t="s">
        <v>156</v>
      </c>
      <c r="E199" s="206">
        <f>G199/F199</f>
        <v>1207.622222222222</v>
      </c>
      <c r="F199" s="204">
        <f>SUM(F200:F201)</f>
        <v>0.45</v>
      </c>
      <c r="G199" s="204">
        <f>SUM(G200:G201)</f>
        <v>543.42999999999995</v>
      </c>
      <c r="H199" s="204"/>
      <c r="I199" s="204"/>
      <c r="J199" s="206">
        <f>L199/K199</f>
        <v>1094.3236842105264</v>
      </c>
      <c r="K199" s="204">
        <f>SUM(K200:K201)</f>
        <v>0.38</v>
      </c>
      <c r="L199" s="204">
        <f>SUM(L200:L201)</f>
        <v>415.84300000000002</v>
      </c>
      <c r="M199" s="204">
        <f>SUM(M200:M201)</f>
        <v>0.38</v>
      </c>
      <c r="N199" s="204">
        <f>SUM(N200:N201)</f>
        <v>415.84300000000002</v>
      </c>
      <c r="O199" s="211"/>
      <c r="P199" s="128"/>
      <c r="Q199" s="231">
        <f>H199-K199</f>
        <v>-0.38</v>
      </c>
      <c r="R199" s="86">
        <f>I199-L199</f>
        <v>-415.84300000000002</v>
      </c>
      <c r="S199" s="86">
        <f t="shared" si="69"/>
        <v>415.84300000000002</v>
      </c>
      <c r="T199" s="223">
        <f>(J199-E199)/E199</f>
        <v>-9.3819520647117474E-2</v>
      </c>
      <c r="U199" s="374"/>
      <c r="V199" s="169"/>
    </row>
    <row r="200" spans="1:22" s="59" customFormat="1" ht="15.75">
      <c r="A200" s="195"/>
      <c r="B200" s="302" t="s">
        <v>132</v>
      </c>
      <c r="C200" s="195"/>
      <c r="D200" s="206"/>
      <c r="E200" s="206"/>
      <c r="F200" s="207"/>
      <c r="G200" s="204"/>
      <c r="H200" s="207"/>
      <c r="I200" s="204"/>
      <c r="J200" s="150"/>
      <c r="K200" s="202"/>
      <c r="L200" s="203"/>
      <c r="M200" s="202"/>
      <c r="N200" s="203"/>
      <c r="O200" s="211"/>
      <c r="P200" s="211"/>
      <c r="Q200" s="230"/>
      <c r="R200" s="86"/>
      <c r="S200" s="86">
        <f t="shared" si="69"/>
        <v>0</v>
      </c>
      <c r="T200" s="223"/>
      <c r="U200" s="374"/>
      <c r="V200" s="169"/>
    </row>
    <row r="201" spans="1:22" s="59" customFormat="1" ht="31.5">
      <c r="A201" s="167" t="s">
        <v>303</v>
      </c>
      <c r="B201" s="345" t="s">
        <v>302</v>
      </c>
      <c r="C201" s="205" t="s">
        <v>36</v>
      </c>
      <c r="D201" s="214" t="s">
        <v>156</v>
      </c>
      <c r="E201" s="175">
        <f>G201/F201</f>
        <v>1207.622222222222</v>
      </c>
      <c r="F201" s="164">
        <v>0.45</v>
      </c>
      <c r="G201" s="161">
        <v>543.42999999999995</v>
      </c>
      <c r="H201" s="207"/>
      <c r="I201" s="204"/>
      <c r="J201" s="411">
        <f>L201/K201</f>
        <v>1094.3236842105264</v>
      </c>
      <c r="K201" s="403">
        <v>0.38</v>
      </c>
      <c r="L201" s="412">
        <f>499.0116/1.2</f>
        <v>415.84300000000002</v>
      </c>
      <c r="M201" s="403">
        <v>0.38</v>
      </c>
      <c r="N201" s="412">
        <f>499.0116/1.2</f>
        <v>415.84300000000002</v>
      </c>
      <c r="O201" s="214" t="s">
        <v>156</v>
      </c>
      <c r="P201" s="211"/>
      <c r="Q201" s="233">
        <f t="shared" ref="Q201:Q221" si="95">H201-K201</f>
        <v>-0.38</v>
      </c>
      <c r="R201" s="85">
        <f t="shared" ref="R201:R221" si="96">I201-L201</f>
        <v>-415.84300000000002</v>
      </c>
      <c r="S201" s="86">
        <f t="shared" ref="S201:S222" si="97">L201-I201</f>
        <v>415.84300000000002</v>
      </c>
      <c r="T201" s="224">
        <f t="shared" ref="T201:T221" si="98">(J201-E201)/E201</f>
        <v>-9.3819520647117474E-2</v>
      </c>
      <c r="U201" s="374" t="s">
        <v>397</v>
      </c>
      <c r="V201" s="169"/>
    </row>
    <row r="202" spans="1:22" s="59" customFormat="1" ht="31.5">
      <c r="A202" s="195">
        <v>1.9</v>
      </c>
      <c r="B202" s="246" t="s">
        <v>134</v>
      </c>
      <c r="C202" s="249" t="s">
        <v>37</v>
      </c>
      <c r="D202" s="273" t="s">
        <v>156</v>
      </c>
      <c r="E202" s="206">
        <f>G202/F202</f>
        <v>638.6</v>
      </c>
      <c r="F202" s="346">
        <f>SUM(F203:F207)</f>
        <v>5</v>
      </c>
      <c r="G202" s="204">
        <f>SUM(G203:G207)</f>
        <v>3193</v>
      </c>
      <c r="H202" s="346">
        <f>SUM(H203:H207)</f>
        <v>2</v>
      </c>
      <c r="I202" s="204">
        <f>SUM(I203:I207)</f>
        <v>1277.2</v>
      </c>
      <c r="J202" s="150"/>
      <c r="K202" s="202"/>
      <c r="L202" s="203"/>
      <c r="M202" s="202"/>
      <c r="N202" s="203"/>
      <c r="O202" s="211"/>
      <c r="P202" s="211"/>
      <c r="Q202" s="230">
        <f t="shared" si="95"/>
        <v>2</v>
      </c>
      <c r="R202" s="86">
        <f t="shared" si="96"/>
        <v>1277.2</v>
      </c>
      <c r="S202" s="86">
        <f t="shared" si="97"/>
        <v>-1277.2</v>
      </c>
      <c r="T202" s="223">
        <f t="shared" si="98"/>
        <v>-1</v>
      </c>
      <c r="U202" s="280"/>
      <c r="V202" s="169"/>
    </row>
    <row r="203" spans="1:22" s="59" customFormat="1" ht="25.5">
      <c r="A203" s="167" t="s">
        <v>304</v>
      </c>
      <c r="B203" s="341" t="s">
        <v>305</v>
      </c>
      <c r="C203" s="205" t="s">
        <v>37</v>
      </c>
      <c r="D203" s="214" t="s">
        <v>156</v>
      </c>
      <c r="E203" s="175">
        <f t="shared" ref="E203:E207" si="99">G203/F203</f>
        <v>638.6</v>
      </c>
      <c r="F203" s="179">
        <v>1</v>
      </c>
      <c r="G203" s="161">
        <v>638.6</v>
      </c>
      <c r="H203" s="176">
        <f>F203</f>
        <v>1</v>
      </c>
      <c r="I203" s="173">
        <f>G203</f>
        <v>638.6</v>
      </c>
      <c r="J203" s="150"/>
      <c r="K203" s="202"/>
      <c r="L203" s="203"/>
      <c r="M203" s="202"/>
      <c r="N203" s="203"/>
      <c r="O203" s="211"/>
      <c r="P203" s="211"/>
      <c r="Q203" s="88">
        <f t="shared" si="95"/>
        <v>1</v>
      </c>
      <c r="R203" s="85">
        <f t="shared" si="96"/>
        <v>638.6</v>
      </c>
      <c r="S203" s="86">
        <f t="shared" si="97"/>
        <v>-638.6</v>
      </c>
      <c r="T203" s="224">
        <f t="shared" si="98"/>
        <v>-1</v>
      </c>
      <c r="U203" s="372" t="s">
        <v>398</v>
      </c>
      <c r="V203" s="169"/>
    </row>
    <row r="204" spans="1:22" s="59" customFormat="1" ht="25.5">
      <c r="A204" s="167" t="s">
        <v>306</v>
      </c>
      <c r="B204" s="341" t="s">
        <v>307</v>
      </c>
      <c r="C204" s="205" t="s">
        <v>37</v>
      </c>
      <c r="D204" s="214" t="s">
        <v>156</v>
      </c>
      <c r="E204" s="175">
        <f t="shared" si="99"/>
        <v>638.6</v>
      </c>
      <c r="F204" s="179">
        <v>1</v>
      </c>
      <c r="G204" s="161">
        <v>638.6</v>
      </c>
      <c r="H204" s="207"/>
      <c r="I204" s="204"/>
      <c r="J204" s="150"/>
      <c r="K204" s="202"/>
      <c r="L204" s="203"/>
      <c r="M204" s="202"/>
      <c r="N204" s="203"/>
      <c r="O204" s="211"/>
      <c r="P204" s="211"/>
      <c r="Q204" s="88">
        <f t="shared" si="95"/>
        <v>0</v>
      </c>
      <c r="R204" s="85">
        <f t="shared" si="96"/>
        <v>0</v>
      </c>
      <c r="S204" s="86">
        <f t="shared" si="97"/>
        <v>0</v>
      </c>
      <c r="T204" s="224">
        <f t="shared" si="98"/>
        <v>-1</v>
      </c>
      <c r="U204" s="372" t="s">
        <v>398</v>
      </c>
      <c r="V204" s="169"/>
    </row>
    <row r="205" spans="1:22" s="59" customFormat="1" ht="25.5">
      <c r="A205" s="167" t="s">
        <v>308</v>
      </c>
      <c r="B205" s="341" t="s">
        <v>309</v>
      </c>
      <c r="C205" s="205" t="s">
        <v>37</v>
      </c>
      <c r="D205" s="214" t="s">
        <v>156</v>
      </c>
      <c r="E205" s="175">
        <f t="shared" si="99"/>
        <v>638.6</v>
      </c>
      <c r="F205" s="179">
        <v>1</v>
      </c>
      <c r="G205" s="161">
        <v>638.6</v>
      </c>
      <c r="H205" s="176">
        <v>1</v>
      </c>
      <c r="I205" s="173">
        <v>638.6</v>
      </c>
      <c r="J205" s="150"/>
      <c r="K205" s="202"/>
      <c r="L205" s="203"/>
      <c r="M205" s="202"/>
      <c r="N205" s="203"/>
      <c r="O205" s="211"/>
      <c r="P205" s="211"/>
      <c r="Q205" s="88">
        <f t="shared" si="95"/>
        <v>1</v>
      </c>
      <c r="R205" s="85">
        <f t="shared" si="96"/>
        <v>638.6</v>
      </c>
      <c r="S205" s="86">
        <f t="shared" si="97"/>
        <v>-638.6</v>
      </c>
      <c r="T205" s="224">
        <f t="shared" si="98"/>
        <v>-1</v>
      </c>
      <c r="U205" s="372" t="s">
        <v>398</v>
      </c>
      <c r="V205" s="169"/>
    </row>
    <row r="206" spans="1:22" s="59" customFormat="1" ht="25.5">
      <c r="A206" s="167" t="s">
        <v>310</v>
      </c>
      <c r="B206" s="341" t="s">
        <v>311</v>
      </c>
      <c r="C206" s="205" t="s">
        <v>37</v>
      </c>
      <c r="D206" s="214" t="s">
        <v>156</v>
      </c>
      <c r="E206" s="175">
        <f t="shared" si="99"/>
        <v>638.6</v>
      </c>
      <c r="F206" s="179">
        <v>1</v>
      </c>
      <c r="G206" s="161">
        <v>638.6</v>
      </c>
      <c r="H206" s="207"/>
      <c r="I206" s="204"/>
      <c r="J206" s="150"/>
      <c r="K206" s="202"/>
      <c r="L206" s="203"/>
      <c r="M206" s="202"/>
      <c r="N206" s="203"/>
      <c r="O206" s="211"/>
      <c r="P206" s="211"/>
      <c r="Q206" s="88">
        <f t="shared" si="95"/>
        <v>0</v>
      </c>
      <c r="R206" s="85">
        <f t="shared" si="96"/>
        <v>0</v>
      </c>
      <c r="S206" s="86">
        <f t="shared" si="97"/>
        <v>0</v>
      </c>
      <c r="T206" s="224">
        <f t="shared" si="98"/>
        <v>-1</v>
      </c>
      <c r="U206" s="372" t="s">
        <v>398</v>
      </c>
      <c r="V206" s="169"/>
    </row>
    <row r="207" spans="1:22" s="59" customFormat="1" ht="25.5">
      <c r="A207" s="167" t="s">
        <v>312</v>
      </c>
      <c r="B207" s="341" t="s">
        <v>313</v>
      </c>
      <c r="C207" s="205" t="s">
        <v>37</v>
      </c>
      <c r="D207" s="214" t="s">
        <v>156</v>
      </c>
      <c r="E207" s="175">
        <f t="shared" si="99"/>
        <v>638.6</v>
      </c>
      <c r="F207" s="179">
        <v>1</v>
      </c>
      <c r="G207" s="161">
        <v>638.6</v>
      </c>
      <c r="H207" s="207"/>
      <c r="I207" s="204"/>
      <c r="J207" s="150"/>
      <c r="K207" s="202"/>
      <c r="L207" s="203"/>
      <c r="M207" s="202"/>
      <c r="N207" s="203"/>
      <c r="O207" s="211"/>
      <c r="P207" s="211"/>
      <c r="Q207" s="88">
        <f t="shared" si="95"/>
        <v>0</v>
      </c>
      <c r="R207" s="85">
        <f t="shared" si="96"/>
        <v>0</v>
      </c>
      <c r="S207" s="86">
        <f t="shared" si="97"/>
        <v>0</v>
      </c>
      <c r="T207" s="224">
        <f t="shared" si="98"/>
        <v>-1</v>
      </c>
      <c r="U207" s="372" t="s">
        <v>398</v>
      </c>
      <c r="V207" s="169"/>
    </row>
    <row r="208" spans="1:22" s="59" customFormat="1" ht="63">
      <c r="A208" s="206">
        <v>1.1000000000000001</v>
      </c>
      <c r="B208" s="246" t="s">
        <v>314</v>
      </c>
      <c r="C208" s="249" t="s">
        <v>37</v>
      </c>
      <c r="D208" s="273" t="s">
        <v>156</v>
      </c>
      <c r="E208" s="206">
        <f>G208/F208</f>
        <v>20.352857142857147</v>
      </c>
      <c r="F208" s="346">
        <f>SUM(F209:F217)</f>
        <v>28</v>
      </c>
      <c r="G208" s="204">
        <f>SUM(G209:G217)</f>
        <v>569.88000000000011</v>
      </c>
      <c r="H208" s="346">
        <f>SUM(H209:H217)</f>
        <v>12</v>
      </c>
      <c r="I208" s="204">
        <f>SUM(I209:I217)</f>
        <v>216.36</v>
      </c>
      <c r="J208" s="150">
        <f>L208/K208</f>
        <v>20.344428571428573</v>
      </c>
      <c r="K208" s="202">
        <f>SUM(K209:K217)</f>
        <v>28</v>
      </c>
      <c r="L208" s="203">
        <f>SUM(L209:L217)</f>
        <v>569.64400000000001</v>
      </c>
      <c r="M208" s="202">
        <f>SUM(M209:M217)</f>
        <v>28</v>
      </c>
      <c r="N208" s="203">
        <f>SUM(N209:N217)</f>
        <v>569.64400000000001</v>
      </c>
      <c r="O208" s="273" t="s">
        <v>156</v>
      </c>
      <c r="P208" s="211"/>
      <c r="Q208" s="230">
        <f t="shared" si="95"/>
        <v>-16</v>
      </c>
      <c r="R208" s="86">
        <f t="shared" si="96"/>
        <v>-353.28399999999999</v>
      </c>
      <c r="S208" s="86">
        <f t="shared" si="97"/>
        <v>353.28399999999999</v>
      </c>
      <c r="T208" s="223">
        <f t="shared" si="98"/>
        <v>-4.1412227135550507E-4</v>
      </c>
      <c r="U208" s="280"/>
      <c r="V208" s="169"/>
    </row>
    <row r="209" spans="1:22" s="59" customFormat="1" ht="47.25">
      <c r="A209" s="167" t="s">
        <v>315</v>
      </c>
      <c r="B209" s="341" t="s">
        <v>316</v>
      </c>
      <c r="C209" s="205" t="s">
        <v>37</v>
      </c>
      <c r="D209" s="214" t="s">
        <v>156</v>
      </c>
      <c r="E209" s="175">
        <f t="shared" ref="E209:E220" si="100">G209/F209</f>
        <v>16.9725</v>
      </c>
      <c r="F209" s="176">
        <v>4</v>
      </c>
      <c r="G209" s="161">
        <v>67.89</v>
      </c>
      <c r="H209" s="176">
        <f>F209</f>
        <v>4</v>
      </c>
      <c r="I209" s="173">
        <f>G209</f>
        <v>67.89</v>
      </c>
      <c r="J209" s="411">
        <f t="shared" ref="J209:J217" si="101">L209/K209</f>
        <v>16.972000000000001</v>
      </c>
      <c r="K209" s="395">
        <v>4</v>
      </c>
      <c r="L209" s="412">
        <f>81.4656/1.2</f>
        <v>67.888000000000005</v>
      </c>
      <c r="M209" s="395">
        <v>4</v>
      </c>
      <c r="N209" s="412">
        <f>81.4656/1.2</f>
        <v>67.888000000000005</v>
      </c>
      <c r="O209" s="214" t="s">
        <v>156</v>
      </c>
      <c r="P209" s="128" t="s">
        <v>428</v>
      </c>
      <c r="Q209" s="88">
        <f t="shared" si="95"/>
        <v>0</v>
      </c>
      <c r="R209" s="85">
        <f t="shared" si="96"/>
        <v>1.9999999999953388E-3</v>
      </c>
      <c r="S209" s="86">
        <f t="shared" si="97"/>
        <v>-1.9999999999953388E-3</v>
      </c>
      <c r="T209" s="224">
        <f t="shared" si="98"/>
        <v>-2.945941964936425E-5</v>
      </c>
      <c r="U209" s="372" t="s">
        <v>389</v>
      </c>
      <c r="V209" s="169"/>
    </row>
    <row r="210" spans="1:22" s="59" customFormat="1" ht="47.25">
      <c r="A210" s="167" t="s">
        <v>317</v>
      </c>
      <c r="B210" s="341" t="s">
        <v>318</v>
      </c>
      <c r="C210" s="205" t="s">
        <v>37</v>
      </c>
      <c r="D210" s="214" t="s">
        <v>156</v>
      </c>
      <c r="E210" s="175">
        <f t="shared" si="100"/>
        <v>16.925000000000001</v>
      </c>
      <c r="F210" s="176">
        <v>4</v>
      </c>
      <c r="G210" s="161">
        <v>67.7</v>
      </c>
      <c r="H210" s="176">
        <v>4</v>
      </c>
      <c r="I210" s="173">
        <v>67.7</v>
      </c>
      <c r="J210" s="411">
        <f t="shared" si="101"/>
        <v>16.911249999999999</v>
      </c>
      <c r="K210" s="395">
        <v>4</v>
      </c>
      <c r="L210" s="412">
        <v>67.644999999999996</v>
      </c>
      <c r="M210" s="395">
        <v>4</v>
      </c>
      <c r="N210" s="412">
        <v>67.644999999999996</v>
      </c>
      <c r="O210" s="214" t="s">
        <v>156</v>
      </c>
      <c r="P210" s="128" t="s">
        <v>429</v>
      </c>
      <c r="Q210" s="88">
        <f t="shared" si="95"/>
        <v>0</v>
      </c>
      <c r="R210" s="85">
        <f t="shared" si="96"/>
        <v>5.5000000000006821E-2</v>
      </c>
      <c r="S210" s="86">
        <f t="shared" si="97"/>
        <v>-5.5000000000006821E-2</v>
      </c>
      <c r="T210" s="224">
        <f t="shared" si="98"/>
        <v>-8.1240768094544783E-4</v>
      </c>
      <c r="U210" s="372" t="s">
        <v>389</v>
      </c>
      <c r="V210" s="169"/>
    </row>
    <row r="211" spans="1:22" s="59" customFormat="1" ht="47.25">
      <c r="A211" s="167" t="s">
        <v>319</v>
      </c>
      <c r="B211" s="341" t="s">
        <v>320</v>
      </c>
      <c r="C211" s="205" t="s">
        <v>37</v>
      </c>
      <c r="D211" s="214" t="s">
        <v>156</v>
      </c>
      <c r="E211" s="175">
        <f t="shared" si="100"/>
        <v>20.192499999999999</v>
      </c>
      <c r="F211" s="176">
        <v>4</v>
      </c>
      <c r="G211" s="161">
        <v>80.77</v>
      </c>
      <c r="H211" s="176">
        <v>4</v>
      </c>
      <c r="I211" s="173">
        <v>80.77</v>
      </c>
      <c r="J211" s="411">
        <f t="shared" si="101"/>
        <v>20.166250000000002</v>
      </c>
      <c r="K211" s="395">
        <v>4</v>
      </c>
      <c r="L211" s="412">
        <f>96.798/1.2</f>
        <v>80.665000000000006</v>
      </c>
      <c r="M211" s="395">
        <v>4</v>
      </c>
      <c r="N211" s="412">
        <f>96.798/1.2</f>
        <v>80.665000000000006</v>
      </c>
      <c r="O211" s="214" t="s">
        <v>156</v>
      </c>
      <c r="P211" s="128" t="s">
        <v>430</v>
      </c>
      <c r="Q211" s="88">
        <f t="shared" si="95"/>
        <v>0</v>
      </c>
      <c r="R211" s="85">
        <f t="shared" si="96"/>
        <v>0.10499999999998977</v>
      </c>
      <c r="S211" s="86">
        <f t="shared" si="97"/>
        <v>-0.10499999999998977</v>
      </c>
      <c r="T211" s="224">
        <f t="shared" si="98"/>
        <v>-1.2999876191654052E-3</v>
      </c>
      <c r="U211" s="372" t="s">
        <v>389</v>
      </c>
      <c r="V211" s="169"/>
    </row>
    <row r="212" spans="1:22" s="59" customFormat="1" ht="47.25">
      <c r="A212" s="167" t="s">
        <v>321</v>
      </c>
      <c r="B212" s="341" t="s">
        <v>322</v>
      </c>
      <c r="C212" s="205" t="s">
        <v>37</v>
      </c>
      <c r="D212" s="214" t="s">
        <v>156</v>
      </c>
      <c r="E212" s="175">
        <f t="shared" si="100"/>
        <v>23.2575</v>
      </c>
      <c r="F212" s="176">
        <v>4</v>
      </c>
      <c r="G212" s="161">
        <v>93.03</v>
      </c>
      <c r="H212" s="207"/>
      <c r="I212" s="204"/>
      <c r="J212" s="411">
        <f t="shared" si="101"/>
        <v>23.255749999999999</v>
      </c>
      <c r="K212" s="395">
        <v>4</v>
      </c>
      <c r="L212" s="412">
        <v>93.022999999999996</v>
      </c>
      <c r="M212" s="395">
        <v>4</v>
      </c>
      <c r="N212" s="412">
        <v>93.022999999999996</v>
      </c>
      <c r="O212" s="214" t="s">
        <v>156</v>
      </c>
      <c r="P212" s="128" t="s">
        <v>431</v>
      </c>
      <c r="Q212" s="88">
        <f t="shared" si="95"/>
        <v>-4</v>
      </c>
      <c r="R212" s="85">
        <f t="shared" si="96"/>
        <v>-93.022999999999996</v>
      </c>
      <c r="S212" s="86">
        <f t="shared" si="97"/>
        <v>93.022999999999996</v>
      </c>
      <c r="T212" s="224">
        <f t="shared" si="98"/>
        <v>-7.5244544770557901E-5</v>
      </c>
      <c r="U212" s="372" t="s">
        <v>389</v>
      </c>
      <c r="V212" s="169"/>
    </row>
    <row r="213" spans="1:22" s="59" customFormat="1" ht="47.25">
      <c r="A213" s="167" t="s">
        <v>323</v>
      </c>
      <c r="B213" s="341" t="s">
        <v>324</v>
      </c>
      <c r="C213" s="205" t="s">
        <v>37</v>
      </c>
      <c r="D213" s="214" t="s">
        <v>156</v>
      </c>
      <c r="E213" s="175">
        <f t="shared" si="100"/>
        <v>17.55</v>
      </c>
      <c r="F213" s="176">
        <v>2</v>
      </c>
      <c r="G213" s="161">
        <v>35.1</v>
      </c>
      <c r="H213" s="207"/>
      <c r="I213" s="204"/>
      <c r="J213" s="411">
        <f t="shared" si="101"/>
        <v>17.548999999999999</v>
      </c>
      <c r="K213" s="395">
        <v>2</v>
      </c>
      <c r="L213" s="412">
        <v>35.097999999999999</v>
      </c>
      <c r="M213" s="395">
        <v>2</v>
      </c>
      <c r="N213" s="412">
        <v>35.097999999999999</v>
      </c>
      <c r="O213" s="214" t="s">
        <v>156</v>
      </c>
      <c r="P213" s="128" t="s">
        <v>432</v>
      </c>
      <c r="Q213" s="88">
        <f t="shared" si="95"/>
        <v>-2</v>
      </c>
      <c r="R213" s="85">
        <f t="shared" si="96"/>
        <v>-35.097999999999999</v>
      </c>
      <c r="S213" s="86">
        <f t="shared" si="97"/>
        <v>35.097999999999999</v>
      </c>
      <c r="T213" s="224">
        <f t="shared" si="98"/>
        <v>-5.6980056980126617E-5</v>
      </c>
      <c r="U213" s="372" t="s">
        <v>389</v>
      </c>
      <c r="V213" s="169"/>
    </row>
    <row r="214" spans="1:22" s="59" customFormat="1" ht="47.25">
      <c r="A214" s="167" t="s">
        <v>325</v>
      </c>
      <c r="B214" s="341" t="s">
        <v>326</v>
      </c>
      <c r="C214" s="205" t="s">
        <v>37</v>
      </c>
      <c r="D214" s="214" t="s">
        <v>156</v>
      </c>
      <c r="E214" s="175">
        <f t="shared" si="100"/>
        <v>17.566666666666666</v>
      </c>
      <c r="F214" s="176">
        <v>3</v>
      </c>
      <c r="G214" s="161">
        <v>52.7</v>
      </c>
      <c r="H214" s="207"/>
      <c r="I214" s="204"/>
      <c r="J214" s="411">
        <f t="shared" si="101"/>
        <v>17.556666666666668</v>
      </c>
      <c r="K214" s="395">
        <v>3</v>
      </c>
      <c r="L214" s="412">
        <f>63.204/1.2</f>
        <v>52.67</v>
      </c>
      <c r="M214" s="395">
        <v>3</v>
      </c>
      <c r="N214" s="412">
        <f>63.204/1.2</f>
        <v>52.67</v>
      </c>
      <c r="O214" s="214" t="s">
        <v>156</v>
      </c>
      <c r="P214" s="128" t="s">
        <v>433</v>
      </c>
      <c r="Q214" s="88">
        <f t="shared" si="95"/>
        <v>-3</v>
      </c>
      <c r="R214" s="85">
        <f t="shared" si="96"/>
        <v>-52.67</v>
      </c>
      <c r="S214" s="86">
        <f t="shared" si="97"/>
        <v>52.67</v>
      </c>
      <c r="T214" s="224">
        <f t="shared" si="98"/>
        <v>-5.6925996204922264E-4</v>
      </c>
      <c r="U214" s="372" t="s">
        <v>389</v>
      </c>
      <c r="V214" s="169"/>
    </row>
    <row r="215" spans="1:22" s="59" customFormat="1" ht="47.25">
      <c r="A215" s="167" t="s">
        <v>327</v>
      </c>
      <c r="B215" s="341" t="s">
        <v>328</v>
      </c>
      <c r="C215" s="205" t="s">
        <v>37</v>
      </c>
      <c r="D215" s="214" t="s">
        <v>156</v>
      </c>
      <c r="E215" s="175">
        <f t="shared" si="100"/>
        <v>27.114999999999998</v>
      </c>
      <c r="F215" s="176">
        <v>2</v>
      </c>
      <c r="G215" s="161">
        <v>54.23</v>
      </c>
      <c r="H215" s="207"/>
      <c r="I215" s="204"/>
      <c r="J215" s="411">
        <f t="shared" si="101"/>
        <v>27.113</v>
      </c>
      <c r="K215" s="395">
        <v>2</v>
      </c>
      <c r="L215" s="412">
        <v>54.225999999999999</v>
      </c>
      <c r="M215" s="395">
        <v>2</v>
      </c>
      <c r="N215" s="412">
        <v>54.225999999999999</v>
      </c>
      <c r="O215" s="214" t="s">
        <v>156</v>
      </c>
      <c r="P215" s="128" t="s">
        <v>434</v>
      </c>
      <c r="Q215" s="88">
        <f t="shared" si="95"/>
        <v>-2</v>
      </c>
      <c r="R215" s="85">
        <f t="shared" si="96"/>
        <v>-54.225999999999999</v>
      </c>
      <c r="S215" s="86">
        <f t="shared" si="97"/>
        <v>54.225999999999999</v>
      </c>
      <c r="T215" s="224">
        <f t="shared" si="98"/>
        <v>-7.3759911488065333E-5</v>
      </c>
      <c r="U215" s="372" t="s">
        <v>389</v>
      </c>
      <c r="V215" s="169"/>
    </row>
    <row r="216" spans="1:22" s="59" customFormat="1" ht="47.25">
      <c r="A216" s="167" t="s">
        <v>329</v>
      </c>
      <c r="B216" s="341" t="s">
        <v>330</v>
      </c>
      <c r="C216" s="205" t="s">
        <v>37</v>
      </c>
      <c r="D216" s="214" t="s">
        <v>156</v>
      </c>
      <c r="E216" s="175">
        <f t="shared" si="100"/>
        <v>20.785</v>
      </c>
      <c r="F216" s="176">
        <v>4</v>
      </c>
      <c r="G216" s="161">
        <v>83.14</v>
      </c>
      <c r="H216" s="207"/>
      <c r="I216" s="204"/>
      <c r="J216" s="411">
        <f t="shared" si="101"/>
        <v>20.7775</v>
      </c>
      <c r="K216" s="395">
        <v>4</v>
      </c>
      <c r="L216" s="412">
        <v>83.11</v>
      </c>
      <c r="M216" s="395">
        <v>4</v>
      </c>
      <c r="N216" s="412">
        <v>83.11</v>
      </c>
      <c r="O216" s="214" t="s">
        <v>156</v>
      </c>
      <c r="P216" s="128" t="s">
        <v>435</v>
      </c>
      <c r="Q216" s="88">
        <f t="shared" si="95"/>
        <v>-4</v>
      </c>
      <c r="R216" s="85">
        <f t="shared" si="96"/>
        <v>-83.11</v>
      </c>
      <c r="S216" s="86">
        <f t="shared" si="97"/>
        <v>83.11</v>
      </c>
      <c r="T216" s="224">
        <f t="shared" si="98"/>
        <v>-3.608371421698477E-4</v>
      </c>
      <c r="U216" s="372" t="s">
        <v>389</v>
      </c>
      <c r="V216" s="169"/>
    </row>
    <row r="217" spans="1:22" s="59" customFormat="1" ht="47.25">
      <c r="A217" s="167" t="s">
        <v>331</v>
      </c>
      <c r="B217" s="341" t="s">
        <v>332</v>
      </c>
      <c r="C217" s="205" t="s">
        <v>37</v>
      </c>
      <c r="D217" s="214" t="s">
        <v>156</v>
      </c>
      <c r="E217" s="175">
        <f t="shared" si="100"/>
        <v>35.32</v>
      </c>
      <c r="F217" s="176">
        <v>1</v>
      </c>
      <c r="G217" s="161">
        <v>35.32</v>
      </c>
      <c r="H217" s="207"/>
      <c r="I217" s="204"/>
      <c r="J217" s="411">
        <f t="shared" si="101"/>
        <v>35.319000000000003</v>
      </c>
      <c r="K217" s="395">
        <v>1</v>
      </c>
      <c r="L217" s="412">
        <v>35.319000000000003</v>
      </c>
      <c r="M217" s="395">
        <v>1</v>
      </c>
      <c r="N217" s="412">
        <v>35.319000000000003</v>
      </c>
      <c r="O217" s="214" t="s">
        <v>156</v>
      </c>
      <c r="P217" s="128" t="s">
        <v>436</v>
      </c>
      <c r="Q217" s="88">
        <f t="shared" si="95"/>
        <v>-1</v>
      </c>
      <c r="R217" s="85">
        <f t="shared" si="96"/>
        <v>-35.319000000000003</v>
      </c>
      <c r="S217" s="86">
        <f t="shared" si="97"/>
        <v>35.319000000000003</v>
      </c>
      <c r="T217" s="224">
        <f t="shared" si="98"/>
        <v>-2.831257078136097E-5</v>
      </c>
      <c r="U217" s="372" t="s">
        <v>389</v>
      </c>
      <c r="V217" s="169"/>
    </row>
    <row r="218" spans="1:22" s="59" customFormat="1" ht="47.25">
      <c r="A218" s="240" t="s">
        <v>333</v>
      </c>
      <c r="B218" s="246" t="s">
        <v>334</v>
      </c>
      <c r="C218" s="249" t="s">
        <v>37</v>
      </c>
      <c r="D218" s="247" t="s">
        <v>341</v>
      </c>
      <c r="E218" s="242">
        <f t="shared" si="100"/>
        <v>46549.18</v>
      </c>
      <c r="F218" s="347">
        <v>1</v>
      </c>
      <c r="G218" s="242">
        <v>46549.18</v>
      </c>
      <c r="H218" s="370">
        <v>0.5</v>
      </c>
      <c r="I218" s="204">
        <v>23274.59</v>
      </c>
      <c r="J218" s="150"/>
      <c r="K218" s="202"/>
      <c r="L218" s="203">
        <f>(27911.442+11467.5924)/1.2</f>
        <v>32815.862000000001</v>
      </c>
      <c r="M218" s="202"/>
      <c r="N218" s="203">
        <f>11467.5924/1.2</f>
        <v>9556.3269999999993</v>
      </c>
      <c r="O218" s="211"/>
      <c r="P218" s="211"/>
      <c r="Q218" s="230">
        <f t="shared" si="95"/>
        <v>0.5</v>
      </c>
      <c r="R218" s="86">
        <f t="shared" si="96"/>
        <v>-9541.2720000000008</v>
      </c>
      <c r="S218" s="86">
        <f t="shared" si="97"/>
        <v>9541.2720000000008</v>
      </c>
      <c r="T218" s="223">
        <f t="shared" si="98"/>
        <v>-1</v>
      </c>
      <c r="U218" s="372" t="s">
        <v>399</v>
      </c>
      <c r="V218" s="169"/>
    </row>
    <row r="219" spans="1:22" s="59" customFormat="1" ht="63">
      <c r="A219" s="240" t="s">
        <v>335</v>
      </c>
      <c r="B219" s="246" t="s">
        <v>336</v>
      </c>
      <c r="C219" s="249" t="s">
        <v>37</v>
      </c>
      <c r="D219" s="273" t="s">
        <v>156</v>
      </c>
      <c r="E219" s="242">
        <f t="shared" si="100"/>
        <v>962.19</v>
      </c>
      <c r="F219" s="347">
        <v>1</v>
      </c>
      <c r="G219" s="348">
        <v>962.19</v>
      </c>
      <c r="H219" s="207"/>
      <c r="I219" s="204"/>
      <c r="J219" s="150"/>
      <c r="K219" s="202"/>
      <c r="L219" s="203">
        <f>575.534/1.2</f>
        <v>479.61166666666668</v>
      </c>
      <c r="M219" s="202"/>
      <c r="N219" s="203"/>
      <c r="O219" s="211"/>
      <c r="P219" s="211"/>
      <c r="Q219" s="230">
        <f t="shared" si="95"/>
        <v>0</v>
      </c>
      <c r="R219" s="86">
        <f t="shared" si="96"/>
        <v>-479.61166666666668</v>
      </c>
      <c r="S219" s="86">
        <f t="shared" si="97"/>
        <v>479.61166666666668</v>
      </c>
      <c r="T219" s="223">
        <f t="shared" si="98"/>
        <v>-1</v>
      </c>
      <c r="U219" s="372" t="s">
        <v>399</v>
      </c>
      <c r="V219" s="169"/>
    </row>
    <row r="220" spans="1:22" s="59" customFormat="1" ht="63">
      <c r="A220" s="240" t="s">
        <v>337</v>
      </c>
      <c r="B220" s="246" t="s">
        <v>338</v>
      </c>
      <c r="C220" s="249" t="s">
        <v>37</v>
      </c>
      <c r="D220" s="273" t="s">
        <v>156</v>
      </c>
      <c r="E220" s="242">
        <f t="shared" si="100"/>
        <v>1087.57</v>
      </c>
      <c r="F220" s="347">
        <v>1</v>
      </c>
      <c r="G220" s="348">
        <v>1087.57</v>
      </c>
      <c r="H220" s="207"/>
      <c r="I220" s="204"/>
      <c r="J220" s="150">
        <f>L220/K220</f>
        <v>1086.3200000000002</v>
      </c>
      <c r="K220" s="202">
        <v>1</v>
      </c>
      <c r="L220" s="203">
        <f>1303.584/1.2</f>
        <v>1086.3200000000002</v>
      </c>
      <c r="M220" s="202">
        <v>1</v>
      </c>
      <c r="N220" s="203">
        <f>1303.584/1.2</f>
        <v>1086.3200000000002</v>
      </c>
      <c r="O220" s="273" t="s">
        <v>156</v>
      </c>
      <c r="P220" s="211"/>
      <c r="Q220" s="230">
        <f t="shared" si="95"/>
        <v>-1</v>
      </c>
      <c r="R220" s="86">
        <f t="shared" si="96"/>
        <v>-1086.3200000000002</v>
      </c>
      <c r="S220" s="86">
        <f t="shared" si="97"/>
        <v>1086.3200000000002</v>
      </c>
      <c r="T220" s="223">
        <f t="shared" si="98"/>
        <v>-1.1493513061226154E-3</v>
      </c>
      <c r="U220" s="372" t="s">
        <v>399</v>
      </c>
      <c r="V220" s="169"/>
    </row>
    <row r="221" spans="1:22" s="59" customFormat="1" ht="63">
      <c r="A221" s="240" t="s">
        <v>339</v>
      </c>
      <c r="B221" s="246" t="s">
        <v>340</v>
      </c>
      <c r="C221" s="249" t="s">
        <v>37</v>
      </c>
      <c r="D221" s="273" t="s">
        <v>156</v>
      </c>
      <c r="E221" s="242">
        <f>G221/F221</f>
        <v>62.24</v>
      </c>
      <c r="F221" s="349">
        <v>1</v>
      </c>
      <c r="G221" s="348">
        <v>62.24</v>
      </c>
      <c r="H221" s="207">
        <v>1</v>
      </c>
      <c r="I221" s="204">
        <v>62.24</v>
      </c>
      <c r="J221" s="150"/>
      <c r="K221" s="202"/>
      <c r="L221" s="203"/>
      <c r="M221" s="202"/>
      <c r="N221" s="203"/>
      <c r="O221" s="211"/>
      <c r="P221" s="211"/>
      <c r="Q221" s="230">
        <f t="shared" si="95"/>
        <v>1</v>
      </c>
      <c r="R221" s="86">
        <f t="shared" si="96"/>
        <v>62.24</v>
      </c>
      <c r="S221" s="86">
        <f t="shared" si="97"/>
        <v>-62.24</v>
      </c>
      <c r="T221" s="223">
        <f t="shared" si="98"/>
        <v>-1</v>
      </c>
      <c r="U221" s="372" t="s">
        <v>400</v>
      </c>
      <c r="V221" s="169"/>
    </row>
    <row r="222" spans="1:22" s="125" customFormat="1" ht="18.75">
      <c r="A222" s="449" t="s">
        <v>23</v>
      </c>
      <c r="B222" s="449"/>
      <c r="C222" s="449"/>
      <c r="D222" s="449"/>
      <c r="E222" s="449"/>
      <c r="F222" s="112"/>
      <c r="G222" s="111">
        <f>G221+G220+G219+G218+G208+G202+G199+G191+G184+G180+G159+G158+G157+G8</f>
        <v>154595.04699999999</v>
      </c>
      <c r="H222" s="111"/>
      <c r="I222" s="111">
        <f>I221+I220+I219+I218+I208+I202+I199+I191+I184+I180+I159+I158+I157+I8</f>
        <v>70446.36</v>
      </c>
      <c r="J222" s="111"/>
      <c r="K222" s="111"/>
      <c r="L222" s="111">
        <f>L221+L220+L219+L218+L208+L202+L199+L191+L184+L180+L159+L158+L157+L8</f>
        <v>92059.32633833334</v>
      </c>
      <c r="M222" s="111"/>
      <c r="N222" s="111">
        <f>N221+N220+N219+N218+N208+N202+N199+N191+N184+N180+N159+N158+N157+N8</f>
        <v>61791.975363333338</v>
      </c>
      <c r="O222" s="111"/>
      <c r="P222" s="111"/>
      <c r="Q222" s="111"/>
      <c r="R222" s="111">
        <f>R221+R220+R219+R218+R208+R202+R199+R191+R184+R180+R159+R158+R157+R8</f>
        <v>-21612.966338333339</v>
      </c>
      <c r="S222" s="425">
        <f t="shared" si="97"/>
        <v>21612.966338333339</v>
      </c>
      <c r="T222" s="226"/>
      <c r="U222" s="227"/>
      <c r="V222" s="227"/>
    </row>
    <row r="223" spans="1:22" s="59" customFormat="1" ht="18.75">
      <c r="A223" s="465" t="s">
        <v>25</v>
      </c>
      <c r="B223" s="466"/>
      <c r="C223" s="466"/>
      <c r="D223" s="466"/>
      <c r="E223" s="466"/>
      <c r="F223" s="466"/>
      <c r="G223" s="466"/>
      <c r="H223" s="466"/>
      <c r="I223" s="466"/>
      <c r="J223" s="466"/>
      <c r="K223" s="466"/>
      <c r="L223" s="466"/>
      <c r="M223" s="466"/>
      <c r="N223" s="466"/>
      <c r="O223" s="466"/>
      <c r="P223" s="466"/>
      <c r="Q223" s="466"/>
      <c r="R223" s="466"/>
      <c r="S223" s="466"/>
      <c r="T223" s="466"/>
      <c r="U223" s="466"/>
      <c r="V223" s="467"/>
    </row>
    <row r="224" spans="1:22" s="59" customFormat="1" ht="15.75">
      <c r="A224" s="131" t="s">
        <v>58</v>
      </c>
      <c r="B224" s="132"/>
      <c r="C224" s="138"/>
      <c r="D224" s="138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101"/>
      <c r="R224" s="103"/>
      <c r="S224" s="103"/>
      <c r="T224" s="60"/>
      <c r="U224" s="61"/>
      <c r="V224" s="61"/>
    </row>
    <row r="225" spans="1:22" s="59" customFormat="1" ht="31.5">
      <c r="A225" s="139">
        <v>2.1</v>
      </c>
      <c r="B225" s="140" t="s">
        <v>59</v>
      </c>
      <c r="C225" s="141"/>
      <c r="D225" s="142"/>
      <c r="E225" s="135"/>
      <c r="F225" s="143"/>
      <c r="G225" s="144"/>
      <c r="H225" s="60"/>
      <c r="I225" s="60"/>
      <c r="J225" s="60"/>
      <c r="K225" s="60"/>
      <c r="L225" s="60"/>
      <c r="M225" s="60"/>
      <c r="N225" s="60"/>
      <c r="O225" s="137"/>
      <c r="P225" s="137"/>
      <c r="Q225" s="91"/>
      <c r="R225" s="86"/>
      <c r="S225" s="86"/>
      <c r="T225" s="146"/>
      <c r="U225" s="187"/>
      <c r="V225" s="61"/>
    </row>
    <row r="226" spans="1:22" s="59" customFormat="1" ht="47.25">
      <c r="A226" s="139" t="s">
        <v>60</v>
      </c>
      <c r="B226" s="350" t="s">
        <v>74</v>
      </c>
      <c r="C226" s="62" t="s">
        <v>37</v>
      </c>
      <c r="D226" s="214" t="s">
        <v>342</v>
      </c>
      <c r="E226" s="133">
        <v>1.38</v>
      </c>
      <c r="F226" s="179">
        <v>16129</v>
      </c>
      <c r="G226" s="263">
        <f>E226*F226</f>
        <v>22258.019999999997</v>
      </c>
      <c r="H226" s="362">
        <v>7258</v>
      </c>
      <c r="I226" s="304">
        <f>H226*E226</f>
        <v>10016.039999999999</v>
      </c>
      <c r="J226" s="85">
        <f>L226/K226</f>
        <v>1.3215929203539822</v>
      </c>
      <c r="K226" s="129">
        <v>11300</v>
      </c>
      <c r="L226" s="85">
        <v>14934</v>
      </c>
      <c r="M226" s="149">
        <v>7209</v>
      </c>
      <c r="N226" s="85">
        <v>9389.2735499999999</v>
      </c>
      <c r="O226" s="85"/>
      <c r="P226" s="128"/>
      <c r="Q226" s="88">
        <f t="shared" ref="Q226:R231" si="102">H226-K226</f>
        <v>-4042</v>
      </c>
      <c r="R226" s="85">
        <f t="shared" si="102"/>
        <v>-4917.9600000000009</v>
      </c>
      <c r="S226" s="86">
        <f t="shared" ref="S226:S249" si="103">L226-I226</f>
        <v>4917.9600000000009</v>
      </c>
      <c r="T226" s="224">
        <f t="shared" ref="T226:T231" si="104">(J226-E226)/E226</f>
        <v>-4.232397075798381E-2</v>
      </c>
      <c r="U226" s="234"/>
      <c r="V226" s="61"/>
    </row>
    <row r="227" spans="1:22" s="59" customFormat="1" ht="47.25">
      <c r="A227" s="139" t="s">
        <v>61</v>
      </c>
      <c r="B227" s="350" t="s">
        <v>75</v>
      </c>
      <c r="C227" s="62" t="s">
        <v>37</v>
      </c>
      <c r="D227" s="214" t="s">
        <v>95</v>
      </c>
      <c r="E227" s="133">
        <v>2.97</v>
      </c>
      <c r="F227" s="179">
        <v>3244</v>
      </c>
      <c r="G227" s="263">
        <f t="shared" ref="G227:G230" si="105">E227*F227</f>
        <v>9634.68</v>
      </c>
      <c r="H227" s="362">
        <v>1460</v>
      </c>
      <c r="I227" s="304">
        <f t="shared" ref="I227:I231" si="106">H227*E227</f>
        <v>4336.2000000000007</v>
      </c>
      <c r="J227" s="85">
        <f>L227/K227</f>
        <v>2.858804964539007</v>
      </c>
      <c r="K227" s="129">
        <v>2820</v>
      </c>
      <c r="L227" s="85">
        <v>8061.83</v>
      </c>
      <c r="M227" s="149">
        <v>1201</v>
      </c>
      <c r="N227" s="85">
        <v>3404.83</v>
      </c>
      <c r="O227" s="214" t="s">
        <v>95</v>
      </c>
      <c r="P227" s="128"/>
      <c r="Q227" s="88">
        <f t="shared" si="102"/>
        <v>-1360</v>
      </c>
      <c r="R227" s="85">
        <f t="shared" si="102"/>
        <v>-3725.6299999999992</v>
      </c>
      <c r="S227" s="86">
        <f t="shared" si="103"/>
        <v>3725.6299999999992</v>
      </c>
      <c r="T227" s="224">
        <f t="shared" si="104"/>
        <v>-3.7439405879122284E-2</v>
      </c>
      <c r="U227" s="234"/>
      <c r="V227" s="61"/>
    </row>
    <row r="228" spans="1:22" s="59" customFormat="1" ht="31.5">
      <c r="A228" s="139" t="s">
        <v>62</v>
      </c>
      <c r="B228" s="350" t="s">
        <v>76</v>
      </c>
      <c r="C228" s="62" t="s">
        <v>37</v>
      </c>
      <c r="D228" s="214" t="s">
        <v>95</v>
      </c>
      <c r="E228" s="133">
        <v>14.7</v>
      </c>
      <c r="F228" s="179">
        <v>75</v>
      </c>
      <c r="G228" s="263">
        <f t="shared" si="105"/>
        <v>1102.5</v>
      </c>
      <c r="H228" s="362">
        <v>34</v>
      </c>
      <c r="I228" s="304">
        <f t="shared" si="106"/>
        <v>499.79999999999995</v>
      </c>
      <c r="J228" s="85">
        <f t="shared" ref="J228:J231" si="107">L228/K228</f>
        <v>13.13</v>
      </c>
      <c r="K228" s="107">
        <v>75</v>
      </c>
      <c r="L228" s="235">
        <v>984.75</v>
      </c>
      <c r="M228" s="149">
        <v>4</v>
      </c>
      <c r="N228" s="85">
        <v>52.52</v>
      </c>
      <c r="O228" s="214" t="s">
        <v>95</v>
      </c>
      <c r="P228" s="128"/>
      <c r="Q228" s="88">
        <f t="shared" si="102"/>
        <v>-41</v>
      </c>
      <c r="R228" s="85">
        <f t="shared" si="102"/>
        <v>-484.95000000000005</v>
      </c>
      <c r="S228" s="86">
        <f t="shared" si="103"/>
        <v>484.95000000000005</v>
      </c>
      <c r="T228" s="224">
        <f t="shared" si="104"/>
        <v>-0.10680272108843528</v>
      </c>
      <c r="U228" s="234"/>
      <c r="V228" s="61"/>
    </row>
    <row r="229" spans="1:22" s="59" customFormat="1" ht="31.5">
      <c r="A229" s="139" t="s">
        <v>63</v>
      </c>
      <c r="B229" s="350" t="s">
        <v>77</v>
      </c>
      <c r="C229" s="62" t="s">
        <v>37</v>
      </c>
      <c r="D229" s="214" t="s">
        <v>95</v>
      </c>
      <c r="E229" s="133">
        <v>21.7</v>
      </c>
      <c r="F229" s="179">
        <v>47</v>
      </c>
      <c r="G229" s="263">
        <f t="shared" si="105"/>
        <v>1019.9</v>
      </c>
      <c r="H229" s="362">
        <v>21</v>
      </c>
      <c r="I229" s="304">
        <f t="shared" si="106"/>
        <v>455.7</v>
      </c>
      <c r="J229" s="85">
        <f t="shared" si="107"/>
        <v>20.5</v>
      </c>
      <c r="K229" s="107">
        <v>42</v>
      </c>
      <c r="L229" s="235">
        <v>861</v>
      </c>
      <c r="M229" s="149">
        <v>9</v>
      </c>
      <c r="N229" s="85">
        <v>184.5</v>
      </c>
      <c r="O229" s="214" t="s">
        <v>95</v>
      </c>
      <c r="P229" s="128"/>
      <c r="Q229" s="88">
        <f t="shared" si="102"/>
        <v>-21</v>
      </c>
      <c r="R229" s="85">
        <f t="shared" si="102"/>
        <v>-405.3</v>
      </c>
      <c r="S229" s="86">
        <f t="shared" si="103"/>
        <v>405.3</v>
      </c>
      <c r="T229" s="224">
        <f t="shared" si="104"/>
        <v>-5.5299539170506881E-2</v>
      </c>
      <c r="U229" s="234"/>
      <c r="V229" s="61"/>
    </row>
    <row r="230" spans="1:22" s="59" customFormat="1" ht="15.75">
      <c r="A230" s="139" t="s">
        <v>64</v>
      </c>
      <c r="B230" s="350" t="s">
        <v>65</v>
      </c>
      <c r="C230" s="62" t="s">
        <v>37</v>
      </c>
      <c r="D230" s="214" t="s">
        <v>95</v>
      </c>
      <c r="E230" s="133">
        <v>3.1777000000000002</v>
      </c>
      <c r="F230" s="179">
        <v>139</v>
      </c>
      <c r="G230" s="263">
        <f t="shared" si="105"/>
        <v>441.70030000000003</v>
      </c>
      <c r="H230" s="362">
        <v>63</v>
      </c>
      <c r="I230" s="304">
        <f t="shared" si="106"/>
        <v>200.19510000000002</v>
      </c>
      <c r="J230" s="85">
        <f t="shared" si="107"/>
        <v>3.0366090909090908</v>
      </c>
      <c r="K230" s="107">
        <v>110</v>
      </c>
      <c r="L230" s="235">
        <v>334.02699999999999</v>
      </c>
      <c r="M230" s="149">
        <v>23</v>
      </c>
      <c r="N230" s="85">
        <v>69.575000000000003</v>
      </c>
      <c r="O230" s="214" t="s">
        <v>95</v>
      </c>
      <c r="P230" s="128"/>
      <c r="Q230" s="88">
        <f t="shared" si="102"/>
        <v>-47</v>
      </c>
      <c r="R230" s="85">
        <f t="shared" si="102"/>
        <v>-133.83189999999996</v>
      </c>
      <c r="S230" s="86">
        <f t="shared" si="103"/>
        <v>133.83189999999996</v>
      </c>
      <c r="T230" s="224">
        <f t="shared" si="104"/>
        <v>-4.4400323847722994E-2</v>
      </c>
      <c r="U230" s="234"/>
      <c r="V230" s="61"/>
    </row>
    <row r="231" spans="1:22" s="59" customFormat="1" ht="15.75">
      <c r="A231" s="139" t="s">
        <v>66</v>
      </c>
      <c r="B231" s="350" t="s">
        <v>78</v>
      </c>
      <c r="C231" s="62" t="s">
        <v>37</v>
      </c>
      <c r="D231" s="214" t="s">
        <v>95</v>
      </c>
      <c r="E231" s="133">
        <v>0.66769699999999998</v>
      </c>
      <c r="F231" s="179">
        <f>F230*3</f>
        <v>417</v>
      </c>
      <c r="G231" s="263">
        <f>E231*F231</f>
        <v>278.42964899999998</v>
      </c>
      <c r="H231" s="362">
        <v>189</v>
      </c>
      <c r="I231" s="304">
        <f t="shared" si="106"/>
        <v>126.194733</v>
      </c>
      <c r="J231" s="85">
        <f t="shared" si="107"/>
        <v>0.53752577319587636</v>
      </c>
      <c r="K231" s="107">
        <v>291</v>
      </c>
      <c r="L231" s="235">
        <v>156.42000000000002</v>
      </c>
      <c r="M231" s="149">
        <v>69</v>
      </c>
      <c r="N231" s="85">
        <f>39.945</f>
        <v>39.945</v>
      </c>
      <c r="O231" s="214" t="s">
        <v>95</v>
      </c>
      <c r="P231" s="128"/>
      <c r="Q231" s="88">
        <f t="shared" si="102"/>
        <v>-102</v>
      </c>
      <c r="R231" s="85">
        <f t="shared" si="102"/>
        <v>-30.225267000000017</v>
      </c>
      <c r="S231" s="86">
        <f t="shared" si="103"/>
        <v>30.225267000000017</v>
      </c>
      <c r="T231" s="224">
        <f t="shared" si="104"/>
        <v>-0.19495553642464117</v>
      </c>
      <c r="U231" s="234"/>
      <c r="V231" s="61"/>
    </row>
    <row r="232" spans="1:22" s="59" customFormat="1" ht="15.75">
      <c r="A232" s="450" t="s">
        <v>54</v>
      </c>
      <c r="B232" s="452"/>
      <c r="C232" s="87"/>
      <c r="D232" s="87"/>
      <c r="E232" s="99"/>
      <c r="F232" s="99"/>
      <c r="G232" s="100">
        <f>SUM(G226:G231)</f>
        <v>34735.229948999993</v>
      </c>
      <c r="H232" s="100"/>
      <c r="I232" s="100">
        <f>SUM(I226:I231)</f>
        <v>15634.129833000001</v>
      </c>
      <c r="J232" s="85"/>
      <c r="K232" s="100"/>
      <c r="L232" s="100">
        <f t="shared" ref="L232:R232" si="108">SUM(L226:L231)</f>
        <v>25332.026999999998</v>
      </c>
      <c r="M232" s="100"/>
      <c r="N232" s="100">
        <f t="shared" si="108"/>
        <v>13140.643550000001</v>
      </c>
      <c r="O232" s="100"/>
      <c r="P232" s="100"/>
      <c r="Q232" s="100"/>
      <c r="R232" s="100">
        <f t="shared" si="108"/>
        <v>-9697.8971669999992</v>
      </c>
      <c r="S232" s="86">
        <f t="shared" si="103"/>
        <v>9697.8971669999974</v>
      </c>
      <c r="T232" s="146"/>
      <c r="U232" s="100"/>
      <c r="V232" s="61"/>
    </row>
    <row r="233" spans="1:22" s="59" customFormat="1" ht="15.75">
      <c r="A233" s="453" t="s">
        <v>55</v>
      </c>
      <c r="B233" s="454"/>
      <c r="C233" s="454"/>
      <c r="D233" s="454"/>
      <c r="E233" s="455"/>
      <c r="F233" s="99"/>
      <c r="G233" s="87"/>
      <c r="H233" s="87"/>
      <c r="I233" s="87"/>
      <c r="J233" s="85"/>
      <c r="K233" s="99"/>
      <c r="L233" s="99"/>
      <c r="M233" s="99"/>
      <c r="N233" s="99"/>
      <c r="O233" s="99"/>
      <c r="P233" s="87"/>
      <c r="Q233" s="102"/>
      <c r="R233" s="105"/>
      <c r="S233" s="86">
        <f t="shared" si="103"/>
        <v>0</v>
      </c>
      <c r="T233" s="146"/>
      <c r="U233" s="61"/>
      <c r="V233" s="61"/>
    </row>
    <row r="234" spans="1:22" s="59" customFormat="1" ht="31.5">
      <c r="A234" s="64">
        <v>2.2000000000000002</v>
      </c>
      <c r="B234" s="215" t="s">
        <v>38</v>
      </c>
      <c r="C234" s="62" t="s">
        <v>37</v>
      </c>
      <c r="D234" s="214" t="s">
        <v>95</v>
      </c>
      <c r="E234" s="216">
        <v>0.5588805</v>
      </c>
      <c r="F234" s="145">
        <v>2500</v>
      </c>
      <c r="G234" s="263">
        <v>1397.2012500000001</v>
      </c>
      <c r="H234" s="362">
        <v>1125</v>
      </c>
      <c r="I234" s="304">
        <f>H234*E234</f>
        <v>628.74056250000001</v>
      </c>
      <c r="J234" s="85">
        <f t="shared" ref="J234:J235" si="109">L234/K234</f>
        <v>0.48179755590659346</v>
      </c>
      <c r="K234" s="129">
        <v>1820</v>
      </c>
      <c r="L234" s="85">
        <v>876.87155175000009</v>
      </c>
      <c r="M234" s="129">
        <v>717</v>
      </c>
      <c r="N234" s="85">
        <f>119.10756+213.07612</f>
        <v>332.18367999999998</v>
      </c>
      <c r="O234" s="214" t="s">
        <v>95</v>
      </c>
      <c r="P234" s="128"/>
      <c r="Q234" s="88">
        <f>H234-K234</f>
        <v>-695</v>
      </c>
      <c r="R234" s="85">
        <f>I234-L234</f>
        <v>-248.13098925000008</v>
      </c>
      <c r="S234" s="86">
        <f t="shared" si="103"/>
        <v>248.13098925000008</v>
      </c>
      <c r="T234" s="224">
        <f>(J234-E234)/E234</f>
        <v>-0.13792383898419527</v>
      </c>
      <c r="U234" s="234"/>
      <c r="V234" s="61"/>
    </row>
    <row r="235" spans="1:22" s="59" customFormat="1" ht="31.5">
      <c r="A235" s="64">
        <v>2.2999999999999998</v>
      </c>
      <c r="B235" s="215" t="s">
        <v>42</v>
      </c>
      <c r="C235" s="62" t="s">
        <v>37</v>
      </c>
      <c r="D235" s="214" t="s">
        <v>95</v>
      </c>
      <c r="E235" s="216">
        <v>0.68244249999999984</v>
      </c>
      <c r="F235" s="136">
        <v>1000</v>
      </c>
      <c r="G235" s="263">
        <v>682.44249999999988</v>
      </c>
      <c r="H235" s="362">
        <v>450</v>
      </c>
      <c r="I235" s="304">
        <f>H235*E235</f>
        <v>307.0991249999999</v>
      </c>
      <c r="J235" s="85">
        <f t="shared" si="109"/>
        <v>0.59654381534090917</v>
      </c>
      <c r="K235" s="129">
        <v>792</v>
      </c>
      <c r="L235" s="85">
        <v>472.46270175000006</v>
      </c>
      <c r="M235" s="129">
        <v>303</v>
      </c>
      <c r="N235" s="85">
        <v>157.36405999999999</v>
      </c>
      <c r="O235" s="214" t="s">
        <v>95</v>
      </c>
      <c r="P235" s="128"/>
      <c r="Q235" s="88">
        <f>H235-K235</f>
        <v>-342</v>
      </c>
      <c r="R235" s="85">
        <f>I235-L235</f>
        <v>-165.36357675000016</v>
      </c>
      <c r="S235" s="86">
        <f t="shared" si="103"/>
        <v>165.36357675000016</v>
      </c>
      <c r="T235" s="224">
        <f>(J235-E235)/E235</f>
        <v>-0.12586948301005682</v>
      </c>
      <c r="U235" s="234"/>
      <c r="V235" s="61"/>
    </row>
    <row r="236" spans="1:22" s="59" customFormat="1" ht="15.75">
      <c r="A236" s="450" t="s">
        <v>54</v>
      </c>
      <c r="B236" s="452"/>
      <c r="C236" s="87"/>
      <c r="D236" s="87"/>
      <c r="E236" s="87"/>
      <c r="F236" s="87"/>
      <c r="G236" s="100">
        <f>SUM(G234:G235)</f>
        <v>2079.6437500000002</v>
      </c>
      <c r="H236" s="87"/>
      <c r="I236" s="151">
        <f>SUM(I234:I235)</f>
        <v>935.83968749999985</v>
      </c>
      <c r="J236" s="152"/>
      <c r="K236" s="152"/>
      <c r="L236" s="100">
        <f>SUM(L234:L235)</f>
        <v>1349.3342535000002</v>
      </c>
      <c r="M236" s="153"/>
      <c r="N236" s="100">
        <f>SUM(N234:N235)</f>
        <v>489.54773999999998</v>
      </c>
      <c r="O236" s="100"/>
      <c r="P236" s="87"/>
      <c r="Q236" s="150"/>
      <c r="R236" s="150">
        <f>SUM(R234:R235)</f>
        <v>-413.49456600000025</v>
      </c>
      <c r="S236" s="86">
        <f t="shared" si="103"/>
        <v>413.4945660000003</v>
      </c>
      <c r="T236" s="120"/>
      <c r="U236" s="234"/>
      <c r="V236" s="61"/>
    </row>
    <row r="237" spans="1:22" s="59" customFormat="1" ht="15.75">
      <c r="A237" s="453" t="s">
        <v>140</v>
      </c>
      <c r="B237" s="454"/>
      <c r="C237" s="454"/>
      <c r="D237" s="454"/>
      <c r="E237" s="455"/>
      <c r="F237" s="87"/>
      <c r="G237" s="100"/>
      <c r="H237" s="87"/>
      <c r="I237" s="151"/>
      <c r="J237" s="152"/>
      <c r="K237" s="152"/>
      <c r="L237" s="100"/>
      <c r="M237" s="153"/>
      <c r="N237" s="100"/>
      <c r="O237" s="100"/>
      <c r="P237" s="87"/>
      <c r="Q237" s="150"/>
      <c r="R237" s="150"/>
      <c r="S237" s="86">
        <f t="shared" si="103"/>
        <v>0</v>
      </c>
      <c r="T237" s="120"/>
      <c r="U237" s="234"/>
      <c r="V237" s="61"/>
    </row>
    <row r="238" spans="1:22" s="59" customFormat="1" ht="31.5">
      <c r="A238" s="64">
        <v>2.4</v>
      </c>
      <c r="B238" s="217" t="s">
        <v>141</v>
      </c>
      <c r="C238" s="62" t="s">
        <v>37</v>
      </c>
      <c r="D238" s="214" t="s">
        <v>345</v>
      </c>
      <c r="E238" s="216">
        <v>0.35</v>
      </c>
      <c r="F238" s="179">
        <v>12500</v>
      </c>
      <c r="G238" s="263">
        <v>4375</v>
      </c>
      <c r="H238" s="362">
        <v>6785</v>
      </c>
      <c r="I238" s="304">
        <f>H238*E238</f>
        <v>2374.75</v>
      </c>
      <c r="J238" s="85">
        <f>L238/K238</f>
        <v>0.318</v>
      </c>
      <c r="K238" s="129">
        <v>12500</v>
      </c>
      <c r="L238" s="85">
        <v>3975</v>
      </c>
      <c r="M238" s="129">
        <v>8130</v>
      </c>
      <c r="N238" s="85">
        <v>2528.3000000000002</v>
      </c>
      <c r="O238" s="85"/>
      <c r="P238" s="128"/>
      <c r="Q238" s="88">
        <f>H238-K238</f>
        <v>-5715</v>
      </c>
      <c r="R238" s="85">
        <f>I238-L238</f>
        <v>-1600.25</v>
      </c>
      <c r="S238" s="86">
        <f t="shared" si="103"/>
        <v>1600.25</v>
      </c>
      <c r="T238" s="224">
        <f>(J238-E238)/E238</f>
        <v>-9.1428571428571359E-2</v>
      </c>
      <c r="U238" s="234"/>
      <c r="V238" s="61"/>
    </row>
    <row r="239" spans="1:22" s="59" customFormat="1" ht="15.75">
      <c r="A239" s="450" t="s">
        <v>54</v>
      </c>
      <c r="B239" s="452"/>
      <c r="C239" s="87"/>
      <c r="D239" s="87"/>
      <c r="E239" s="87"/>
      <c r="F239" s="87"/>
      <c r="G239" s="100">
        <f>G238</f>
        <v>4375</v>
      </c>
      <c r="H239" s="87"/>
      <c r="I239" s="151">
        <f>I238</f>
        <v>2374.75</v>
      </c>
      <c r="J239" s="152"/>
      <c r="K239" s="152"/>
      <c r="L239" s="100">
        <f>L238</f>
        <v>3975</v>
      </c>
      <c r="M239" s="153"/>
      <c r="N239" s="100">
        <f>N238</f>
        <v>2528.3000000000002</v>
      </c>
      <c r="O239" s="100"/>
      <c r="P239" s="87"/>
      <c r="Q239" s="150"/>
      <c r="R239" s="150">
        <f>R238</f>
        <v>-1600.25</v>
      </c>
      <c r="S239" s="86">
        <f t="shared" si="103"/>
        <v>1600.25</v>
      </c>
      <c r="T239" s="120"/>
      <c r="U239" s="61"/>
      <c r="V239" s="61"/>
    </row>
    <row r="240" spans="1:22" s="59" customFormat="1" ht="15.75">
      <c r="A240" s="450" t="s">
        <v>142</v>
      </c>
      <c r="B240" s="451"/>
      <c r="C240" s="451"/>
      <c r="D240" s="451"/>
      <c r="E240" s="452"/>
      <c r="F240" s="87"/>
      <c r="G240" s="100"/>
      <c r="H240" s="87"/>
      <c r="I240" s="151"/>
      <c r="J240" s="152"/>
      <c r="K240" s="152"/>
      <c r="L240" s="100"/>
      <c r="M240" s="153"/>
      <c r="N240" s="100"/>
      <c r="O240" s="100"/>
      <c r="P240" s="87"/>
      <c r="Q240" s="150"/>
      <c r="R240" s="150"/>
      <c r="S240" s="86">
        <f t="shared" si="103"/>
        <v>0</v>
      </c>
      <c r="T240" s="120"/>
      <c r="U240" s="61"/>
      <c r="V240" s="61"/>
    </row>
    <row r="241" spans="1:22" s="59" customFormat="1" ht="31.5">
      <c r="A241" s="194">
        <v>2.5</v>
      </c>
      <c r="B241" s="218" t="s">
        <v>143</v>
      </c>
      <c r="C241" s="87"/>
      <c r="D241" s="87"/>
      <c r="E241" s="87"/>
      <c r="F241" s="87"/>
      <c r="G241" s="100"/>
      <c r="H241" s="87"/>
      <c r="I241" s="151"/>
      <c r="J241" s="152"/>
      <c r="K241" s="152"/>
      <c r="L241" s="100"/>
      <c r="M241" s="153"/>
      <c r="N241" s="100"/>
      <c r="O241" s="100"/>
      <c r="P241" s="87"/>
      <c r="Q241" s="150"/>
      <c r="R241" s="150"/>
      <c r="S241" s="86">
        <f t="shared" si="103"/>
        <v>0</v>
      </c>
      <c r="T241" s="120"/>
      <c r="U241" s="61"/>
      <c r="V241" s="61"/>
    </row>
    <row r="242" spans="1:22" s="59" customFormat="1" ht="47.25">
      <c r="A242" s="175" t="s">
        <v>144</v>
      </c>
      <c r="B242" s="219" t="s">
        <v>145</v>
      </c>
      <c r="C242" s="62" t="s">
        <v>37</v>
      </c>
      <c r="D242" s="214" t="s">
        <v>95</v>
      </c>
      <c r="E242" s="133">
        <v>8</v>
      </c>
      <c r="F242" s="179">
        <v>58</v>
      </c>
      <c r="G242" s="263">
        <v>464</v>
      </c>
      <c r="H242" s="362">
        <v>27</v>
      </c>
      <c r="I242" s="304">
        <f>H242*E242</f>
        <v>216</v>
      </c>
      <c r="J242" s="85">
        <f>L242/K242</f>
        <v>5.3999999999999995</v>
      </c>
      <c r="K242" s="107">
        <v>58</v>
      </c>
      <c r="L242" s="235">
        <v>313.2</v>
      </c>
      <c r="M242" s="268">
        <v>38</v>
      </c>
      <c r="N242" s="235">
        <v>205.2</v>
      </c>
      <c r="O242" s="214" t="s">
        <v>95</v>
      </c>
      <c r="P242" s="128"/>
      <c r="Q242" s="88">
        <f>H242-K242</f>
        <v>-31</v>
      </c>
      <c r="R242" s="85">
        <f>I242-L242</f>
        <v>-97.199999999999989</v>
      </c>
      <c r="S242" s="86">
        <f t="shared" si="103"/>
        <v>97.199999999999989</v>
      </c>
      <c r="T242" s="224">
        <f>(J242-E242)/E242</f>
        <v>-0.32500000000000007</v>
      </c>
      <c r="U242" s="234"/>
      <c r="V242" s="61"/>
    </row>
    <row r="243" spans="1:22" s="59" customFormat="1" ht="63">
      <c r="A243" s="175" t="s">
        <v>146</v>
      </c>
      <c r="B243" s="219" t="s">
        <v>147</v>
      </c>
      <c r="C243" s="62" t="s">
        <v>37</v>
      </c>
      <c r="D243" s="214" t="s">
        <v>346</v>
      </c>
      <c r="E243" s="133">
        <v>6.5</v>
      </c>
      <c r="F243" s="179">
        <v>66</v>
      </c>
      <c r="G243" s="263">
        <v>429</v>
      </c>
      <c r="H243" s="362">
        <v>30</v>
      </c>
      <c r="I243" s="304">
        <f>H243*E243</f>
        <v>195</v>
      </c>
      <c r="J243" s="85">
        <f>L243/K243</f>
        <v>6</v>
      </c>
      <c r="K243" s="107">
        <v>66</v>
      </c>
      <c r="L243" s="235">
        <v>396</v>
      </c>
      <c r="M243" s="268">
        <v>43</v>
      </c>
      <c r="N243" s="235">
        <v>248.7</v>
      </c>
      <c r="O243" s="235"/>
      <c r="P243" s="128"/>
      <c r="Q243" s="88">
        <f>H243-K243</f>
        <v>-36</v>
      </c>
      <c r="R243" s="85">
        <f>I243-L243</f>
        <v>-201</v>
      </c>
      <c r="S243" s="86">
        <f t="shared" si="103"/>
        <v>201</v>
      </c>
      <c r="T243" s="224">
        <f>(J243-E243)/E243</f>
        <v>-7.6923076923076927E-2</v>
      </c>
      <c r="U243" s="234"/>
      <c r="V243" s="61"/>
    </row>
    <row r="244" spans="1:22" s="59" customFormat="1" ht="15.75">
      <c r="A244" s="450" t="s">
        <v>54</v>
      </c>
      <c r="B244" s="452"/>
      <c r="C244" s="87"/>
      <c r="D244" s="87"/>
      <c r="E244" s="87"/>
      <c r="F244" s="87"/>
      <c r="G244" s="100">
        <f>SUM(G242:G243)</f>
        <v>893</v>
      </c>
      <c r="H244" s="87"/>
      <c r="I244" s="151">
        <f>SUM(I242:I243)</f>
        <v>411</v>
      </c>
      <c r="J244" s="152"/>
      <c r="K244" s="152"/>
      <c r="L244" s="100">
        <f>SUM(L242:L243)</f>
        <v>709.2</v>
      </c>
      <c r="M244" s="153"/>
      <c r="N244" s="100">
        <f>SUM(N242:N243)</f>
        <v>453.9</v>
      </c>
      <c r="O244" s="100"/>
      <c r="P244" s="87"/>
      <c r="Q244" s="150"/>
      <c r="R244" s="150">
        <f>SUM(R242:R243)</f>
        <v>-298.2</v>
      </c>
      <c r="S244" s="86">
        <f t="shared" si="103"/>
        <v>298.20000000000005</v>
      </c>
      <c r="T244" s="120"/>
      <c r="U244" s="61"/>
      <c r="V244" s="61"/>
    </row>
    <row r="245" spans="1:22" s="59" customFormat="1" ht="15.75">
      <c r="A245" s="449" t="s">
        <v>24</v>
      </c>
      <c r="B245" s="449"/>
      <c r="C245" s="449"/>
      <c r="D245" s="449"/>
      <c r="E245" s="449"/>
      <c r="F245" s="114"/>
      <c r="G245" s="111">
        <f>G244+G239+G236+G232</f>
        <v>42082.873698999996</v>
      </c>
      <c r="H245" s="111"/>
      <c r="I245" s="111">
        <f t="shared" ref="I245:R245" si="110">I244+I239+I236+I232</f>
        <v>19355.719520500003</v>
      </c>
      <c r="J245" s="111"/>
      <c r="K245" s="111"/>
      <c r="L245" s="111">
        <f t="shared" si="110"/>
        <v>31365.561253499996</v>
      </c>
      <c r="M245" s="111"/>
      <c r="N245" s="111">
        <f t="shared" si="110"/>
        <v>16612.39129</v>
      </c>
      <c r="O245" s="111"/>
      <c r="P245" s="111"/>
      <c r="Q245" s="111"/>
      <c r="R245" s="111">
        <f t="shared" si="110"/>
        <v>-12009.841732999999</v>
      </c>
      <c r="S245" s="111">
        <f t="shared" si="103"/>
        <v>12009.841732999994</v>
      </c>
      <c r="T245" s="115"/>
      <c r="U245" s="116"/>
      <c r="V245" s="116"/>
    </row>
    <row r="246" spans="1:22" s="59" customFormat="1" ht="15.75">
      <c r="A246" s="458" t="s">
        <v>26</v>
      </c>
      <c r="B246" s="459"/>
      <c r="C246" s="459"/>
      <c r="D246" s="459"/>
      <c r="E246" s="459"/>
      <c r="F246" s="459"/>
      <c r="G246" s="459"/>
      <c r="H246" s="459"/>
      <c r="I246" s="459"/>
      <c r="J246" s="459"/>
      <c r="K246" s="459"/>
      <c r="L246" s="459"/>
      <c r="M246" s="459"/>
      <c r="N246" s="459"/>
      <c r="O246" s="459"/>
      <c r="P246" s="459"/>
      <c r="Q246" s="459"/>
      <c r="R246" s="459"/>
      <c r="S246" s="459"/>
      <c r="T246" s="459"/>
      <c r="U246" s="459"/>
      <c r="V246" s="460"/>
    </row>
    <row r="247" spans="1:22" s="59" customFormat="1" ht="31.5">
      <c r="A247" s="194">
        <v>3.1</v>
      </c>
      <c r="B247" s="215" t="s">
        <v>343</v>
      </c>
      <c r="C247" s="154" t="s">
        <v>37</v>
      </c>
      <c r="D247" s="214" t="s">
        <v>95</v>
      </c>
      <c r="E247" s="351">
        <v>750</v>
      </c>
      <c r="F247" s="98">
        <v>1</v>
      </c>
      <c r="G247" s="352">
        <v>750</v>
      </c>
      <c r="H247" s="98"/>
      <c r="I247" s="225"/>
      <c r="J247" s="155"/>
      <c r="K247" s="90"/>
      <c r="L247" s="155"/>
      <c r="M247" s="90"/>
      <c r="N247" s="155"/>
      <c r="O247" s="155"/>
      <c r="P247" s="128"/>
      <c r="Q247" s="88">
        <f>H247-K247</f>
        <v>0</v>
      </c>
      <c r="R247" s="85">
        <f>I247-L247</f>
        <v>0</v>
      </c>
      <c r="S247" s="86">
        <f t="shared" si="103"/>
        <v>0</v>
      </c>
      <c r="T247" s="224">
        <f>(J247-E247)/E247</f>
        <v>-1</v>
      </c>
      <c r="U247" s="234"/>
      <c r="V247" s="65"/>
    </row>
    <row r="248" spans="1:22" s="59" customFormat="1" ht="31.5">
      <c r="A248" s="194">
        <v>3.2</v>
      </c>
      <c r="B248" s="215" t="s">
        <v>344</v>
      </c>
      <c r="C248" s="154" t="s">
        <v>37</v>
      </c>
      <c r="D248" s="214" t="s">
        <v>95</v>
      </c>
      <c r="E248" s="351">
        <v>650</v>
      </c>
      <c r="F248" s="98">
        <v>1</v>
      </c>
      <c r="G248" s="352">
        <v>650</v>
      </c>
      <c r="H248" s="98"/>
      <c r="I248" s="225"/>
      <c r="J248" s="155"/>
      <c r="K248" s="90"/>
      <c r="L248" s="155"/>
      <c r="M248" s="90"/>
      <c r="N248" s="155"/>
      <c r="O248" s="155"/>
      <c r="P248" s="128"/>
      <c r="Q248" s="88">
        <f>H248-K248</f>
        <v>0</v>
      </c>
      <c r="R248" s="85">
        <f>I248-L248</f>
        <v>0</v>
      </c>
      <c r="S248" s="86">
        <f t="shared" si="103"/>
        <v>0</v>
      </c>
      <c r="T248" s="224">
        <f>(J248-E248)/E248</f>
        <v>-1</v>
      </c>
      <c r="U248" s="234"/>
      <c r="V248" s="65"/>
    </row>
    <row r="249" spans="1:22" s="59" customFormat="1" ht="15.75">
      <c r="A249" s="448" t="s">
        <v>27</v>
      </c>
      <c r="B249" s="448"/>
      <c r="C249" s="448"/>
      <c r="D249" s="448"/>
      <c r="E249" s="448"/>
      <c r="F249" s="114"/>
      <c r="G249" s="111">
        <f>SUM(G247:G248)</f>
        <v>1400</v>
      </c>
      <c r="H249" s="111"/>
      <c r="I249" s="111">
        <f>SUM(I247:I248)</f>
        <v>0</v>
      </c>
      <c r="J249" s="111"/>
      <c r="K249" s="111"/>
      <c r="L249" s="111">
        <f>SUM(L247:L248)</f>
        <v>0</v>
      </c>
      <c r="M249" s="111"/>
      <c r="N249" s="111">
        <f>SUM(N247:N248)</f>
        <v>0</v>
      </c>
      <c r="O249" s="111"/>
      <c r="P249" s="111"/>
      <c r="Q249" s="111"/>
      <c r="R249" s="111">
        <f>SUM(R247:R248)</f>
        <v>0</v>
      </c>
      <c r="S249" s="111">
        <f t="shared" si="103"/>
        <v>0</v>
      </c>
      <c r="T249" s="111"/>
      <c r="U249" s="116"/>
      <c r="V249" s="116"/>
    </row>
    <row r="250" spans="1:22" s="59" customFormat="1" ht="15.75">
      <c r="A250" s="458" t="s">
        <v>28</v>
      </c>
      <c r="B250" s="459"/>
      <c r="C250" s="459"/>
      <c r="D250" s="459"/>
      <c r="E250" s="459"/>
      <c r="F250" s="459"/>
      <c r="G250" s="459"/>
      <c r="H250" s="459"/>
      <c r="I250" s="459"/>
      <c r="J250" s="459"/>
      <c r="K250" s="459"/>
      <c r="L250" s="459"/>
      <c r="M250" s="459"/>
      <c r="N250" s="459"/>
      <c r="O250" s="459"/>
      <c r="P250" s="459"/>
      <c r="Q250" s="459"/>
      <c r="R250" s="459"/>
      <c r="S250" s="459"/>
      <c r="T250" s="459"/>
      <c r="U250" s="459"/>
      <c r="V250" s="460"/>
    </row>
    <row r="251" spans="1:22" s="59" customFormat="1" ht="15.75">
      <c r="A251" s="450" t="s">
        <v>39</v>
      </c>
      <c r="B251" s="452"/>
      <c r="C251" s="107"/>
      <c r="D251" s="108"/>
      <c r="E251" s="94"/>
      <c r="F251" s="95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3"/>
      <c r="R251" s="93"/>
      <c r="S251" s="93"/>
      <c r="T251" s="104"/>
      <c r="U251" s="184"/>
      <c r="V251" s="104"/>
    </row>
    <row r="252" spans="1:22" s="59" customFormat="1" ht="47.25">
      <c r="A252" s="220" t="s">
        <v>79</v>
      </c>
      <c r="B252" s="221" t="s">
        <v>347</v>
      </c>
      <c r="C252" s="154" t="s">
        <v>37</v>
      </c>
      <c r="D252" s="214" t="s">
        <v>350</v>
      </c>
      <c r="E252" s="157">
        <v>26.45</v>
      </c>
      <c r="F252" s="181">
        <v>130</v>
      </c>
      <c r="G252" s="352">
        <v>3438.5</v>
      </c>
      <c r="H252" s="181">
        <v>130</v>
      </c>
      <c r="I252" s="352">
        <v>3438.5</v>
      </c>
      <c r="J252" s="85">
        <f>L252/K252</f>
        <v>26.257999999999999</v>
      </c>
      <c r="K252" s="149">
        <v>130</v>
      </c>
      <c r="L252" s="85">
        <v>3413.54</v>
      </c>
      <c r="M252" s="149">
        <v>130</v>
      </c>
      <c r="N252" s="85">
        <v>3413.54</v>
      </c>
      <c r="O252" s="214" t="s">
        <v>350</v>
      </c>
      <c r="P252" s="128" t="s">
        <v>375</v>
      </c>
      <c r="Q252" s="88">
        <f t="shared" ref="Q252:R254" si="111">H252-K252</f>
        <v>0</v>
      </c>
      <c r="R252" s="85">
        <f t="shared" si="111"/>
        <v>24.960000000000036</v>
      </c>
      <c r="S252" s="86">
        <f t="shared" ref="S252:S275" si="112">L252-I252</f>
        <v>-24.960000000000036</v>
      </c>
      <c r="T252" s="224">
        <f>(J252-E252)/E252</f>
        <v>-7.2589792060491556E-3</v>
      </c>
      <c r="U252" s="234"/>
      <c r="V252" s="61"/>
    </row>
    <row r="253" spans="1:22" s="59" customFormat="1" ht="47.25">
      <c r="A253" s="220" t="s">
        <v>80</v>
      </c>
      <c r="B253" s="221" t="s">
        <v>348</v>
      </c>
      <c r="C253" s="154" t="s">
        <v>37</v>
      </c>
      <c r="D253" s="214" t="s">
        <v>350</v>
      </c>
      <c r="E253" s="157">
        <v>26.7</v>
      </c>
      <c r="F253" s="181">
        <v>19</v>
      </c>
      <c r="G253" s="352">
        <f>E253*F253</f>
        <v>507.3</v>
      </c>
      <c r="H253" s="181">
        <v>19</v>
      </c>
      <c r="I253" s="352">
        <v>507.3</v>
      </c>
      <c r="J253" s="85">
        <f t="shared" ref="J253:J254" si="113">L253/K253</f>
        <v>22.834</v>
      </c>
      <c r="K253" s="158">
        <v>19</v>
      </c>
      <c r="L253" s="85">
        <v>433.846</v>
      </c>
      <c r="M253" s="123">
        <v>19</v>
      </c>
      <c r="N253" s="85">
        <v>433.846</v>
      </c>
      <c r="O253" s="214" t="s">
        <v>350</v>
      </c>
      <c r="P253" s="128" t="s">
        <v>376</v>
      </c>
      <c r="Q253" s="88">
        <f t="shared" si="111"/>
        <v>0</v>
      </c>
      <c r="R253" s="85">
        <f t="shared" si="111"/>
        <v>73.454000000000008</v>
      </c>
      <c r="S253" s="86">
        <f t="shared" si="112"/>
        <v>-73.454000000000008</v>
      </c>
      <c r="T253" s="224">
        <f>(J253-E253)/E253</f>
        <v>-0.1447940074906367</v>
      </c>
      <c r="U253" s="234"/>
      <c r="V253" s="61"/>
    </row>
    <row r="254" spans="1:22" s="59" customFormat="1" ht="78.75">
      <c r="A254" s="220" t="s">
        <v>81</v>
      </c>
      <c r="B254" s="221" t="s">
        <v>349</v>
      </c>
      <c r="C254" s="154" t="s">
        <v>37</v>
      </c>
      <c r="D254" s="214" t="s">
        <v>350</v>
      </c>
      <c r="E254" s="157">
        <v>24</v>
      </c>
      <c r="F254" s="181">
        <v>30</v>
      </c>
      <c r="G254" s="352">
        <v>720</v>
      </c>
      <c r="H254" s="181">
        <v>30</v>
      </c>
      <c r="I254" s="352">
        <v>720</v>
      </c>
      <c r="J254" s="85">
        <f t="shared" si="113"/>
        <v>24</v>
      </c>
      <c r="K254" s="158">
        <v>30</v>
      </c>
      <c r="L254" s="85">
        <v>720</v>
      </c>
      <c r="M254" s="158">
        <v>30</v>
      </c>
      <c r="N254" s="85">
        <v>720</v>
      </c>
      <c r="O254" s="214" t="s">
        <v>350</v>
      </c>
      <c r="P254" s="128" t="s">
        <v>377</v>
      </c>
      <c r="Q254" s="88">
        <f t="shared" si="111"/>
        <v>0</v>
      </c>
      <c r="R254" s="85">
        <f t="shared" si="111"/>
        <v>0</v>
      </c>
      <c r="S254" s="86">
        <f t="shared" si="112"/>
        <v>0</v>
      </c>
      <c r="T254" s="224">
        <f>(J254-E254)/E254</f>
        <v>0</v>
      </c>
      <c r="U254" s="234"/>
      <c r="V254" s="61"/>
    </row>
    <row r="255" spans="1:22" s="59" customFormat="1" ht="15.75">
      <c r="A255" s="450" t="s">
        <v>54</v>
      </c>
      <c r="B255" s="452"/>
      <c r="C255" s="66"/>
      <c r="D255" s="67"/>
      <c r="E255" s="94"/>
      <c r="F255" s="95"/>
      <c r="G255" s="96">
        <f>SUM(G252:G254)</f>
        <v>4665.8</v>
      </c>
      <c r="H255" s="97"/>
      <c r="I255" s="96">
        <f>SUM(I252:I254)</f>
        <v>4665.8</v>
      </c>
      <c r="J255" s="96"/>
      <c r="K255" s="96"/>
      <c r="L255" s="96">
        <f>SUM(L252:L254)</f>
        <v>4567.3860000000004</v>
      </c>
      <c r="M255" s="96"/>
      <c r="N255" s="96">
        <f>SUM(N252:N254)</f>
        <v>4567.3860000000004</v>
      </c>
      <c r="O255" s="96"/>
      <c r="P255" s="96"/>
      <c r="Q255" s="92"/>
      <c r="R255" s="96">
        <f>SUM(R252:R254)</f>
        <v>98.414000000000044</v>
      </c>
      <c r="S255" s="86">
        <f t="shared" si="112"/>
        <v>-98.41399999999976</v>
      </c>
      <c r="T255" s="147"/>
      <c r="U255" s="234" t="s">
        <v>96</v>
      </c>
      <c r="V255" s="61"/>
    </row>
    <row r="256" spans="1:22" s="59" customFormat="1" ht="15.75">
      <c r="A256" s="450" t="s">
        <v>48</v>
      </c>
      <c r="B256" s="452"/>
      <c r="C256" s="66"/>
      <c r="D256" s="67"/>
      <c r="E256" s="94"/>
      <c r="F256" s="95"/>
      <c r="G256" s="97"/>
      <c r="H256" s="97"/>
      <c r="I256" s="121"/>
      <c r="J256" s="89"/>
      <c r="K256" s="123"/>
      <c r="L256" s="85"/>
      <c r="M256" s="68"/>
      <c r="N256" s="68"/>
      <c r="O256" s="68"/>
      <c r="P256" s="68"/>
      <c r="Q256" s="92"/>
      <c r="R256" s="93"/>
      <c r="S256" s="86">
        <f t="shared" si="112"/>
        <v>0</v>
      </c>
      <c r="T256" s="147"/>
      <c r="U256" s="234"/>
      <c r="V256" s="61"/>
    </row>
    <row r="257" spans="1:22" s="59" customFormat="1" ht="31.5">
      <c r="A257" s="220" t="s">
        <v>82</v>
      </c>
      <c r="B257" s="221" t="s">
        <v>351</v>
      </c>
      <c r="C257" s="154" t="s">
        <v>37</v>
      </c>
      <c r="D257" s="214" t="s">
        <v>95</v>
      </c>
      <c r="E257" s="157">
        <v>3725.82</v>
      </c>
      <c r="F257" s="158">
        <v>1</v>
      </c>
      <c r="G257" s="352">
        <v>3725.82</v>
      </c>
      <c r="H257" s="158"/>
      <c r="I257" s="85"/>
      <c r="J257" s="85">
        <f t="shared" ref="J257:J259" si="114">L257/K257</f>
        <v>3712</v>
      </c>
      <c r="K257" s="123">
        <v>1</v>
      </c>
      <c r="L257" s="85">
        <v>3712</v>
      </c>
      <c r="M257" s="123">
        <v>1</v>
      </c>
      <c r="N257" s="85">
        <v>3712</v>
      </c>
      <c r="O257" s="214" t="s">
        <v>95</v>
      </c>
      <c r="P257" s="128" t="s">
        <v>378</v>
      </c>
      <c r="Q257" s="88">
        <f t="shared" ref="Q257:R260" si="115">H257-K257</f>
        <v>-1</v>
      </c>
      <c r="R257" s="85">
        <f t="shared" si="115"/>
        <v>-3712</v>
      </c>
      <c r="S257" s="86">
        <f t="shared" si="112"/>
        <v>3712</v>
      </c>
      <c r="T257" s="224">
        <f>(J257-E257)/E257</f>
        <v>-3.7092505810801817E-3</v>
      </c>
      <c r="U257" s="234"/>
      <c r="V257" s="61"/>
    </row>
    <row r="258" spans="1:22" s="59" customFormat="1" ht="31.5">
      <c r="A258" s="220" t="s">
        <v>352</v>
      </c>
      <c r="B258" s="221" t="s">
        <v>353</v>
      </c>
      <c r="C258" s="154" t="s">
        <v>37</v>
      </c>
      <c r="D258" s="214" t="s">
        <v>95</v>
      </c>
      <c r="E258" s="157">
        <v>2877</v>
      </c>
      <c r="F258" s="158">
        <v>1</v>
      </c>
      <c r="G258" s="352">
        <v>2877</v>
      </c>
      <c r="H258" s="158"/>
      <c r="I258" s="85"/>
      <c r="J258" s="85">
        <f t="shared" si="114"/>
        <v>2868</v>
      </c>
      <c r="K258" s="123">
        <v>1</v>
      </c>
      <c r="L258" s="85">
        <v>2868</v>
      </c>
      <c r="M258" s="123">
        <v>1</v>
      </c>
      <c r="N258" s="85">
        <v>2868</v>
      </c>
      <c r="O258" s="214" t="s">
        <v>95</v>
      </c>
      <c r="P258" s="128" t="s">
        <v>401</v>
      </c>
      <c r="Q258" s="88">
        <f t="shared" si="115"/>
        <v>-1</v>
      </c>
      <c r="R258" s="85">
        <f t="shared" si="115"/>
        <v>-2868</v>
      </c>
      <c r="S258" s="86">
        <f t="shared" si="112"/>
        <v>2868</v>
      </c>
      <c r="T258" s="224">
        <f>(J258-E258)/E258</f>
        <v>-3.1282586027111575E-3</v>
      </c>
      <c r="U258" s="280"/>
      <c r="V258" s="61"/>
    </row>
    <row r="259" spans="1:22" s="59" customFormat="1" ht="31.5">
      <c r="A259" s="220" t="s">
        <v>354</v>
      </c>
      <c r="B259" s="221" t="s">
        <v>355</v>
      </c>
      <c r="C259" s="154" t="s">
        <v>37</v>
      </c>
      <c r="D259" s="214" t="s">
        <v>95</v>
      </c>
      <c r="E259" s="157">
        <v>1050</v>
      </c>
      <c r="F259" s="158">
        <v>2</v>
      </c>
      <c r="G259" s="352">
        <v>2100</v>
      </c>
      <c r="H259" s="158"/>
      <c r="I259" s="85"/>
      <c r="J259" s="85">
        <f t="shared" si="114"/>
        <v>1040</v>
      </c>
      <c r="K259" s="123">
        <v>2</v>
      </c>
      <c r="L259" s="85">
        <v>2080</v>
      </c>
      <c r="M259" s="123">
        <v>2</v>
      </c>
      <c r="N259" s="85">
        <v>2080</v>
      </c>
      <c r="O259" s="214" t="s">
        <v>95</v>
      </c>
      <c r="P259" s="128" t="s">
        <v>378</v>
      </c>
      <c r="Q259" s="88">
        <f t="shared" si="115"/>
        <v>-2</v>
      </c>
      <c r="R259" s="85">
        <f t="shared" si="115"/>
        <v>-2080</v>
      </c>
      <c r="S259" s="86">
        <f t="shared" si="112"/>
        <v>2080</v>
      </c>
      <c r="T259" s="224">
        <f>(J259-E259)/E259</f>
        <v>-9.5238095238095247E-3</v>
      </c>
      <c r="U259" s="280"/>
      <c r="V259" s="61"/>
    </row>
    <row r="260" spans="1:22" s="59" customFormat="1" ht="31.5">
      <c r="A260" s="220" t="s">
        <v>356</v>
      </c>
      <c r="B260" s="221" t="s">
        <v>357</v>
      </c>
      <c r="C260" s="154" t="s">
        <v>37</v>
      </c>
      <c r="D260" s="214" t="s">
        <v>95</v>
      </c>
      <c r="E260" s="157">
        <v>350</v>
      </c>
      <c r="F260" s="158">
        <v>1</v>
      </c>
      <c r="G260" s="352">
        <v>350</v>
      </c>
      <c r="H260" s="158">
        <v>1</v>
      </c>
      <c r="I260" s="85">
        <v>350</v>
      </c>
      <c r="J260" s="85">
        <f>L260/K260</f>
        <v>349.8</v>
      </c>
      <c r="K260" s="123">
        <v>1</v>
      </c>
      <c r="L260" s="85">
        <v>349.8</v>
      </c>
      <c r="M260" s="123">
        <v>1</v>
      </c>
      <c r="N260" s="85">
        <v>349.8</v>
      </c>
      <c r="O260" s="214" t="s">
        <v>95</v>
      </c>
      <c r="P260" s="128" t="s">
        <v>378</v>
      </c>
      <c r="Q260" s="88">
        <f t="shared" si="115"/>
        <v>0</v>
      </c>
      <c r="R260" s="85">
        <f t="shared" si="115"/>
        <v>0.19999999999998863</v>
      </c>
      <c r="S260" s="86">
        <f t="shared" si="112"/>
        <v>-0.19999999999998863</v>
      </c>
      <c r="T260" s="224">
        <f>(J260-E260)/E260</f>
        <v>-5.7142857142853895E-4</v>
      </c>
      <c r="U260" s="280"/>
      <c r="V260" s="61"/>
    </row>
    <row r="261" spans="1:22" s="59" customFormat="1" ht="15.75">
      <c r="A261" s="450" t="s">
        <v>54</v>
      </c>
      <c r="B261" s="452"/>
      <c r="C261" s="66"/>
      <c r="D261" s="67"/>
      <c r="E261" s="94"/>
      <c r="F261" s="95"/>
      <c r="G261" s="96">
        <f>SUM(G257:G260)</f>
        <v>9052.82</v>
      </c>
      <c r="H261" s="97"/>
      <c r="I261" s="96">
        <f>SUM(I257:I260)</f>
        <v>350</v>
      </c>
      <c r="J261" s="96"/>
      <c r="K261" s="96"/>
      <c r="L261" s="96">
        <f>SUM(L257:L260)</f>
        <v>9009.7999999999993</v>
      </c>
      <c r="M261" s="96"/>
      <c r="N261" s="96">
        <f>SUM(N257:N260)</f>
        <v>9009.7999999999993</v>
      </c>
      <c r="O261" s="96"/>
      <c r="P261" s="96"/>
      <c r="Q261" s="165"/>
      <c r="R261" s="86">
        <f>SUM(R257:R260)</f>
        <v>-8659.7999999999993</v>
      </c>
      <c r="S261" s="86">
        <f t="shared" si="112"/>
        <v>8659.7999999999993</v>
      </c>
      <c r="T261" s="147"/>
      <c r="U261" s="234" t="s">
        <v>96</v>
      </c>
      <c r="V261" s="61"/>
    </row>
    <row r="262" spans="1:22" s="59" customFormat="1" ht="15.75">
      <c r="A262" s="450" t="s">
        <v>40</v>
      </c>
      <c r="B262" s="452"/>
      <c r="C262" s="66"/>
      <c r="D262" s="67"/>
      <c r="E262" s="94"/>
      <c r="F262" s="95"/>
      <c r="G262" s="97"/>
      <c r="H262" s="97"/>
      <c r="I262" s="97"/>
      <c r="J262" s="68"/>
      <c r="K262" s="68"/>
      <c r="L262" s="68"/>
      <c r="M262" s="68"/>
      <c r="N262" s="68"/>
      <c r="O262" s="68"/>
      <c r="P262" s="68"/>
      <c r="Q262" s="92"/>
      <c r="R262" s="93"/>
      <c r="S262" s="86">
        <f t="shared" si="112"/>
        <v>0</v>
      </c>
      <c r="T262" s="147"/>
      <c r="U262" s="234"/>
      <c r="V262" s="61"/>
    </row>
    <row r="263" spans="1:22" s="59" customFormat="1" ht="31.5">
      <c r="A263" s="69">
        <v>4.8</v>
      </c>
      <c r="B263" s="156" t="s">
        <v>43</v>
      </c>
      <c r="C263" s="70" t="s">
        <v>37</v>
      </c>
      <c r="D263" s="214" t="s">
        <v>72</v>
      </c>
      <c r="E263" s="180">
        <v>1300</v>
      </c>
      <c r="F263" s="181">
        <v>1</v>
      </c>
      <c r="G263" s="352">
        <f t="shared" ref="G263" si="116">E263*F263</f>
        <v>1300</v>
      </c>
      <c r="H263" s="181">
        <v>1</v>
      </c>
      <c r="I263" s="352">
        <f t="shared" ref="I263" si="117">G263*H263</f>
        <v>1300</v>
      </c>
      <c r="J263" s="85">
        <v>1282.0423000000001</v>
      </c>
      <c r="K263" s="98">
        <v>1</v>
      </c>
      <c r="L263" s="93">
        <f>J263*K263</f>
        <v>1282.0423000000001</v>
      </c>
      <c r="M263" s="98">
        <v>1</v>
      </c>
      <c r="N263" s="93">
        <f>L263*M263</f>
        <v>1282.0423000000001</v>
      </c>
      <c r="O263" s="214" t="s">
        <v>72</v>
      </c>
      <c r="P263" s="128" t="s">
        <v>402</v>
      </c>
      <c r="Q263" s="88">
        <f>H263-K263</f>
        <v>0</v>
      </c>
      <c r="R263" s="85">
        <f>I263-L263</f>
        <v>17.957699999999932</v>
      </c>
      <c r="S263" s="86">
        <f t="shared" si="112"/>
        <v>-17.957699999999932</v>
      </c>
      <c r="T263" s="224">
        <f>(J263-E263)/E263</f>
        <v>-1.3813615384615332E-2</v>
      </c>
      <c r="U263" s="234"/>
      <c r="V263" s="61"/>
    </row>
    <row r="264" spans="1:22" s="59" customFormat="1" ht="15.75">
      <c r="A264" s="450" t="s">
        <v>54</v>
      </c>
      <c r="B264" s="452"/>
      <c r="C264" s="66"/>
      <c r="D264" s="67"/>
      <c r="E264" s="94"/>
      <c r="F264" s="95"/>
      <c r="G264" s="96">
        <f>G263</f>
        <v>1300</v>
      </c>
      <c r="H264" s="97"/>
      <c r="I264" s="96">
        <f t="shared" ref="I264" si="118">SUM(I263)</f>
        <v>1300</v>
      </c>
      <c r="J264" s="96"/>
      <c r="K264" s="96"/>
      <c r="L264" s="96">
        <f>SUM(L263)</f>
        <v>1282.0423000000001</v>
      </c>
      <c r="M264" s="148"/>
      <c r="N264" s="96">
        <f>SUM(N263)</f>
        <v>1282.0423000000001</v>
      </c>
      <c r="O264" s="96"/>
      <c r="P264" s="68"/>
      <c r="Q264" s="92"/>
      <c r="R264" s="96">
        <f>R263</f>
        <v>17.957699999999932</v>
      </c>
      <c r="S264" s="86">
        <f t="shared" si="112"/>
        <v>-17.957699999999932</v>
      </c>
      <c r="T264" s="130"/>
      <c r="U264" s="61"/>
      <c r="V264" s="61"/>
    </row>
    <row r="265" spans="1:22" s="59" customFormat="1" ht="15.75">
      <c r="A265" s="448" t="s">
        <v>29</v>
      </c>
      <c r="B265" s="448"/>
      <c r="C265" s="448"/>
      <c r="D265" s="448"/>
      <c r="E265" s="448"/>
      <c r="F265" s="117"/>
      <c r="G265" s="111">
        <f>G255+G261+G264</f>
        <v>15018.619999999999</v>
      </c>
      <c r="H265" s="111"/>
      <c r="I265" s="111">
        <f t="shared" ref="I265:R265" si="119">I255+I261+I264</f>
        <v>6315.8</v>
      </c>
      <c r="J265" s="111"/>
      <c r="K265" s="111"/>
      <c r="L265" s="111">
        <f t="shared" si="119"/>
        <v>14859.228299999999</v>
      </c>
      <c r="M265" s="111"/>
      <c r="N265" s="111">
        <f t="shared" si="119"/>
        <v>14859.228299999999</v>
      </c>
      <c r="O265" s="111"/>
      <c r="P265" s="111"/>
      <c r="Q265" s="111"/>
      <c r="R265" s="111">
        <f t="shared" si="119"/>
        <v>-8543.4282999999996</v>
      </c>
      <c r="S265" s="111">
        <f t="shared" si="112"/>
        <v>8543.4282999999996</v>
      </c>
      <c r="T265" s="115"/>
      <c r="U265" s="116"/>
      <c r="V265" s="116"/>
    </row>
    <row r="266" spans="1:22" s="59" customFormat="1" ht="15.75">
      <c r="A266" s="458" t="s">
        <v>30</v>
      </c>
      <c r="B266" s="459"/>
      <c r="C266" s="459"/>
      <c r="D266" s="459"/>
      <c r="E266" s="459"/>
      <c r="F266" s="459"/>
      <c r="G266" s="459"/>
      <c r="H266" s="459"/>
      <c r="I266" s="459"/>
      <c r="J266" s="459"/>
      <c r="K266" s="459"/>
      <c r="L266" s="459"/>
      <c r="M266" s="459"/>
      <c r="N266" s="459"/>
      <c r="O266" s="459"/>
      <c r="P266" s="459"/>
      <c r="Q266" s="459"/>
      <c r="R266" s="459"/>
      <c r="S266" s="459"/>
      <c r="T266" s="459"/>
      <c r="U266" s="459"/>
      <c r="V266" s="460"/>
    </row>
    <row r="267" spans="1:22" s="59" customFormat="1" ht="31.5">
      <c r="A267" s="194">
        <v>5.0999999999999996</v>
      </c>
      <c r="B267" s="353" t="s">
        <v>358</v>
      </c>
      <c r="C267" s="70" t="s">
        <v>37</v>
      </c>
      <c r="D267" s="214" t="s">
        <v>95</v>
      </c>
      <c r="E267" s="180">
        <v>545</v>
      </c>
      <c r="F267" s="354">
        <v>1</v>
      </c>
      <c r="G267" s="352">
        <f>E267*F267</f>
        <v>545</v>
      </c>
      <c r="H267" s="158"/>
      <c r="I267" s="157"/>
      <c r="J267" s="85">
        <f>L267/K267</f>
        <v>542</v>
      </c>
      <c r="K267" s="98">
        <v>0.7</v>
      </c>
      <c r="L267" s="93">
        <v>379.4</v>
      </c>
      <c r="M267" s="98"/>
      <c r="N267" s="93"/>
      <c r="O267" s="93"/>
      <c r="P267" s="128"/>
      <c r="Q267" s="88">
        <f t="shared" ref="Q267" si="120">H267-K267</f>
        <v>-0.7</v>
      </c>
      <c r="R267" s="85">
        <f t="shared" ref="R267" si="121">I267-L267</f>
        <v>-379.4</v>
      </c>
      <c r="S267" s="86">
        <f t="shared" si="112"/>
        <v>379.4</v>
      </c>
      <c r="T267" s="224">
        <f t="shared" ref="T267" si="122">(J267-E267)/E267</f>
        <v>-5.5045871559633031E-3</v>
      </c>
      <c r="U267" s="234"/>
      <c r="V267" s="106"/>
    </row>
    <row r="268" spans="1:22" s="59" customFormat="1" ht="31.5">
      <c r="A268" s="194">
        <v>5.2</v>
      </c>
      <c r="B268" s="353" t="s">
        <v>359</v>
      </c>
      <c r="C268" s="70" t="s">
        <v>37</v>
      </c>
      <c r="D268" s="214" t="s">
        <v>95</v>
      </c>
      <c r="E268" s="180">
        <v>600</v>
      </c>
      <c r="F268" s="354">
        <v>1</v>
      </c>
      <c r="G268" s="352">
        <f t="shared" ref="G268:G274" si="123">E268*F268</f>
        <v>600</v>
      </c>
      <c r="H268" s="158"/>
      <c r="I268" s="157"/>
      <c r="J268" s="85">
        <f t="shared" ref="J268:J274" si="124">L268/K268</f>
        <v>598.41666999999995</v>
      </c>
      <c r="K268" s="98">
        <v>0.7</v>
      </c>
      <c r="L268" s="157">
        <v>418.89166899999992</v>
      </c>
      <c r="M268" s="158"/>
      <c r="N268" s="157"/>
      <c r="O268" s="157"/>
      <c r="P268" s="128"/>
      <c r="Q268" s="88">
        <f t="shared" ref="Q268:Q274" si="125">H268-K268</f>
        <v>-0.7</v>
      </c>
      <c r="R268" s="85">
        <f t="shared" ref="R268:R274" si="126">I268-L268</f>
        <v>-418.89166899999992</v>
      </c>
      <c r="S268" s="86">
        <f t="shared" si="112"/>
        <v>418.89166899999992</v>
      </c>
      <c r="T268" s="224">
        <f t="shared" ref="T268:T274" si="127">(J268-E268)/E268</f>
        <v>-2.6388833333334106E-3</v>
      </c>
      <c r="U268" s="234"/>
      <c r="V268" s="106"/>
    </row>
    <row r="269" spans="1:22" s="59" customFormat="1" ht="31.5">
      <c r="A269" s="194">
        <v>5.3</v>
      </c>
      <c r="B269" s="353" t="s">
        <v>360</v>
      </c>
      <c r="C269" s="70" t="s">
        <v>37</v>
      </c>
      <c r="D269" s="214" t="s">
        <v>95</v>
      </c>
      <c r="E269" s="180">
        <v>545</v>
      </c>
      <c r="F269" s="354">
        <v>1</v>
      </c>
      <c r="G269" s="352">
        <f t="shared" si="123"/>
        <v>545</v>
      </c>
      <c r="H269" s="158"/>
      <c r="I269" s="157"/>
      <c r="J269" s="85">
        <f t="shared" si="124"/>
        <v>542</v>
      </c>
      <c r="K269" s="98">
        <v>0.7</v>
      </c>
      <c r="L269" s="157">
        <v>379.4</v>
      </c>
      <c r="M269" s="158"/>
      <c r="N269" s="157"/>
      <c r="O269" s="157"/>
      <c r="P269" s="128"/>
      <c r="Q269" s="88">
        <f t="shared" si="125"/>
        <v>-0.7</v>
      </c>
      <c r="R269" s="85">
        <f t="shared" si="126"/>
        <v>-379.4</v>
      </c>
      <c r="S269" s="86">
        <f t="shared" si="112"/>
        <v>379.4</v>
      </c>
      <c r="T269" s="224">
        <f t="shared" si="127"/>
        <v>-5.5045871559633031E-3</v>
      </c>
      <c r="U269" s="280"/>
      <c r="V269" s="106"/>
    </row>
    <row r="270" spans="1:22" s="59" customFormat="1" ht="31.5">
      <c r="A270" s="194">
        <v>5.4</v>
      </c>
      <c r="B270" s="353" t="s">
        <v>361</v>
      </c>
      <c r="C270" s="70" t="s">
        <v>37</v>
      </c>
      <c r="D270" s="214" t="s">
        <v>95</v>
      </c>
      <c r="E270" s="180">
        <v>545</v>
      </c>
      <c r="F270" s="354">
        <v>1</v>
      </c>
      <c r="G270" s="352">
        <f t="shared" si="123"/>
        <v>545</v>
      </c>
      <c r="H270" s="158"/>
      <c r="I270" s="157"/>
      <c r="J270" s="85">
        <f t="shared" si="124"/>
        <v>542</v>
      </c>
      <c r="K270" s="98">
        <v>0.7</v>
      </c>
      <c r="L270" s="157">
        <v>379.4</v>
      </c>
      <c r="M270" s="158"/>
      <c r="N270" s="157"/>
      <c r="O270" s="157"/>
      <c r="P270" s="128"/>
      <c r="Q270" s="88">
        <f t="shared" si="125"/>
        <v>-0.7</v>
      </c>
      <c r="R270" s="85">
        <f t="shared" si="126"/>
        <v>-379.4</v>
      </c>
      <c r="S270" s="86">
        <f t="shared" si="112"/>
        <v>379.4</v>
      </c>
      <c r="T270" s="224">
        <f t="shared" si="127"/>
        <v>-5.5045871559633031E-3</v>
      </c>
      <c r="U270" s="280"/>
      <c r="V270" s="106"/>
    </row>
    <row r="271" spans="1:22" s="59" customFormat="1" ht="31.5">
      <c r="A271" s="194">
        <v>5.5</v>
      </c>
      <c r="B271" s="353" t="s">
        <v>362</v>
      </c>
      <c r="C271" s="70" t="s">
        <v>37</v>
      </c>
      <c r="D271" s="214" t="s">
        <v>95</v>
      </c>
      <c r="E271" s="355">
        <v>520</v>
      </c>
      <c r="F271" s="356">
        <v>1</v>
      </c>
      <c r="G271" s="352">
        <f>E271*F271</f>
        <v>520</v>
      </c>
      <c r="H271" s="158"/>
      <c r="I271" s="157"/>
      <c r="J271" s="85">
        <f t="shared" si="124"/>
        <v>516.66666999999995</v>
      </c>
      <c r="K271" s="98">
        <v>0.7</v>
      </c>
      <c r="L271" s="157">
        <v>361.66666899999996</v>
      </c>
      <c r="M271" s="158"/>
      <c r="N271" s="157"/>
      <c r="O271" s="157"/>
      <c r="P271" s="128"/>
      <c r="Q271" s="88">
        <f t="shared" si="125"/>
        <v>-0.7</v>
      </c>
      <c r="R271" s="85">
        <f t="shared" si="126"/>
        <v>-361.66666899999996</v>
      </c>
      <c r="S271" s="86">
        <f t="shared" si="112"/>
        <v>361.66666899999996</v>
      </c>
      <c r="T271" s="224">
        <f t="shared" si="127"/>
        <v>-6.4102500000000895E-3</v>
      </c>
      <c r="U271" s="280"/>
      <c r="V271" s="106"/>
    </row>
    <row r="272" spans="1:22" s="59" customFormat="1" ht="31.5">
      <c r="A272" s="194">
        <v>5.6</v>
      </c>
      <c r="B272" s="353" t="s">
        <v>363</v>
      </c>
      <c r="C272" s="70" t="s">
        <v>37</v>
      </c>
      <c r="D272" s="214" t="s">
        <v>95</v>
      </c>
      <c r="E272" s="355">
        <v>520</v>
      </c>
      <c r="F272" s="356">
        <v>1</v>
      </c>
      <c r="G272" s="352">
        <f t="shared" si="123"/>
        <v>520</v>
      </c>
      <c r="H272" s="158"/>
      <c r="I272" s="157"/>
      <c r="J272" s="85">
        <f t="shared" si="124"/>
        <v>516.66666999999995</v>
      </c>
      <c r="K272" s="98">
        <v>0.7</v>
      </c>
      <c r="L272" s="157">
        <v>361.66666899999996</v>
      </c>
      <c r="M272" s="158"/>
      <c r="N272" s="157"/>
      <c r="O272" s="157"/>
      <c r="P272" s="128"/>
      <c r="Q272" s="88">
        <f t="shared" si="125"/>
        <v>-0.7</v>
      </c>
      <c r="R272" s="85">
        <f t="shared" si="126"/>
        <v>-361.66666899999996</v>
      </c>
      <c r="S272" s="86">
        <f t="shared" si="112"/>
        <v>361.66666899999996</v>
      </c>
      <c r="T272" s="224">
        <f t="shared" si="127"/>
        <v>-6.4102500000000895E-3</v>
      </c>
      <c r="U272" s="234"/>
      <c r="V272" s="106"/>
    </row>
    <row r="273" spans="1:22" s="59" customFormat="1" ht="31.5">
      <c r="A273" s="194">
        <v>5.7</v>
      </c>
      <c r="B273" s="353" t="s">
        <v>364</v>
      </c>
      <c r="C273" s="70" t="s">
        <v>37</v>
      </c>
      <c r="D273" s="214" t="s">
        <v>95</v>
      </c>
      <c r="E273" s="355">
        <v>600</v>
      </c>
      <c r="F273" s="356">
        <v>1</v>
      </c>
      <c r="G273" s="352">
        <f t="shared" si="123"/>
        <v>600</v>
      </c>
      <c r="H273" s="158"/>
      <c r="I273" s="157"/>
      <c r="J273" s="85">
        <f t="shared" si="124"/>
        <v>598.41666999999995</v>
      </c>
      <c r="K273" s="98">
        <v>0.7</v>
      </c>
      <c r="L273" s="157">
        <v>418.89166899999992</v>
      </c>
      <c r="M273" s="158"/>
      <c r="N273" s="157"/>
      <c r="O273" s="157"/>
      <c r="P273" s="128"/>
      <c r="Q273" s="88">
        <f t="shared" si="125"/>
        <v>-0.7</v>
      </c>
      <c r="R273" s="85">
        <f t="shared" si="126"/>
        <v>-418.89166899999992</v>
      </c>
      <c r="S273" s="86">
        <f t="shared" si="112"/>
        <v>418.89166899999992</v>
      </c>
      <c r="T273" s="224">
        <f t="shared" si="127"/>
        <v>-2.6388833333334106E-3</v>
      </c>
      <c r="U273" s="280"/>
      <c r="V273" s="106"/>
    </row>
    <row r="274" spans="1:22" s="59" customFormat="1" ht="31.5">
      <c r="A274" s="194">
        <v>5.8</v>
      </c>
      <c r="B274" s="353" t="s">
        <v>365</v>
      </c>
      <c r="C274" s="70" t="s">
        <v>37</v>
      </c>
      <c r="D274" s="214" t="s">
        <v>95</v>
      </c>
      <c r="E274" s="355">
        <v>580</v>
      </c>
      <c r="F274" s="356">
        <v>1</v>
      </c>
      <c r="G274" s="352">
        <f t="shared" si="123"/>
        <v>580</v>
      </c>
      <c r="H274" s="158"/>
      <c r="I274" s="157"/>
      <c r="J274" s="85">
        <f t="shared" si="124"/>
        <v>578.5</v>
      </c>
      <c r="K274" s="98">
        <v>1</v>
      </c>
      <c r="L274" s="157">
        <v>578.5</v>
      </c>
      <c r="M274" s="158">
        <v>1</v>
      </c>
      <c r="N274" s="157">
        <v>578.5</v>
      </c>
      <c r="O274" s="214" t="s">
        <v>95</v>
      </c>
      <c r="P274" s="128" t="s">
        <v>378</v>
      </c>
      <c r="Q274" s="88">
        <f t="shared" si="125"/>
        <v>-1</v>
      </c>
      <c r="R274" s="85">
        <f t="shared" si="126"/>
        <v>-578.5</v>
      </c>
      <c r="S274" s="86">
        <f t="shared" si="112"/>
        <v>578.5</v>
      </c>
      <c r="T274" s="224">
        <f t="shared" si="127"/>
        <v>-2.5862068965517241E-3</v>
      </c>
      <c r="U274" s="280"/>
      <c r="V274" s="106"/>
    </row>
    <row r="275" spans="1:22" s="59" customFormat="1" ht="15.75">
      <c r="A275" s="462" t="s">
        <v>31</v>
      </c>
      <c r="B275" s="463"/>
      <c r="C275" s="463"/>
      <c r="D275" s="463"/>
      <c r="E275" s="464"/>
      <c r="F275" s="117"/>
      <c r="G275" s="111">
        <f>SUM(G267:G274)</f>
        <v>4455</v>
      </c>
      <c r="H275" s="111"/>
      <c r="I275" s="111">
        <f>SUM(I267:I274)</f>
        <v>0</v>
      </c>
      <c r="J275" s="111"/>
      <c r="K275" s="111"/>
      <c r="L275" s="111">
        <f>SUM(L267:L274)</f>
        <v>3277.8166759999999</v>
      </c>
      <c r="M275" s="111"/>
      <c r="N275" s="111">
        <f>SUM(N267:N274)</f>
        <v>578.5</v>
      </c>
      <c r="O275" s="111"/>
      <c r="P275" s="111"/>
      <c r="Q275" s="111"/>
      <c r="R275" s="111">
        <f>SUM(R267:R274)</f>
        <v>-3277.8166759999999</v>
      </c>
      <c r="S275" s="111">
        <f t="shared" si="112"/>
        <v>3277.8166759999999</v>
      </c>
      <c r="T275" s="112"/>
      <c r="U275" s="116"/>
      <c r="V275" s="116"/>
    </row>
    <row r="276" spans="1:22" s="59" customFormat="1" ht="15.75">
      <c r="A276" s="458" t="s">
        <v>439</v>
      </c>
      <c r="B276" s="459"/>
      <c r="C276" s="459"/>
      <c r="D276" s="459"/>
      <c r="E276" s="459"/>
      <c r="F276" s="459"/>
      <c r="G276" s="459"/>
      <c r="H276" s="459"/>
      <c r="I276" s="459"/>
      <c r="J276" s="459"/>
      <c r="K276" s="459"/>
      <c r="L276" s="459"/>
      <c r="M276" s="459"/>
      <c r="N276" s="459"/>
      <c r="O276" s="459"/>
      <c r="P276" s="459"/>
      <c r="Q276" s="459"/>
      <c r="R276" s="459"/>
      <c r="S276" s="459"/>
      <c r="T276" s="459"/>
      <c r="U276" s="459"/>
      <c r="V276" s="460"/>
    </row>
    <row r="277" spans="1:22" s="59" customFormat="1" ht="15.75">
      <c r="A277" s="458" t="s">
        <v>56</v>
      </c>
      <c r="B277" s="460"/>
      <c r="C277" s="106"/>
      <c r="D277" s="106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89"/>
      <c r="R277" s="89"/>
      <c r="S277" s="89"/>
      <c r="T277" s="106"/>
      <c r="U277" s="106"/>
      <c r="V277" s="106"/>
    </row>
    <row r="278" spans="1:22" s="59" customFormat="1" ht="31.5">
      <c r="A278" s="357">
        <v>6.1</v>
      </c>
      <c r="B278" s="358" t="s">
        <v>366</v>
      </c>
      <c r="C278" s="62" t="s">
        <v>37</v>
      </c>
      <c r="D278" s="214" t="s">
        <v>72</v>
      </c>
      <c r="E278" s="359">
        <v>1833</v>
      </c>
      <c r="F278" s="360">
        <v>1</v>
      </c>
      <c r="G278" s="361">
        <v>1833</v>
      </c>
      <c r="H278" s="360">
        <v>1</v>
      </c>
      <c r="I278" s="361">
        <v>1833</v>
      </c>
      <c r="J278" s="85"/>
      <c r="K278" s="92"/>
      <c r="L278" s="180"/>
      <c r="M278" s="92"/>
      <c r="N278" s="180"/>
      <c r="O278" s="180"/>
      <c r="P278" s="128"/>
      <c r="Q278" s="88">
        <f t="shared" ref="Q278:Q284" si="128">H278-K278</f>
        <v>1</v>
      </c>
      <c r="R278" s="85">
        <f t="shared" ref="R278:R284" si="129">I278-L278</f>
        <v>1833</v>
      </c>
      <c r="S278" s="86">
        <f t="shared" ref="S278:S291" si="130">L278-I278</f>
        <v>-1833</v>
      </c>
      <c r="T278" s="224">
        <f t="shared" ref="T278:T284" si="131">(J278-E278)/E278</f>
        <v>-1</v>
      </c>
      <c r="U278" s="234"/>
      <c r="V278" s="61"/>
    </row>
    <row r="279" spans="1:22" s="59" customFormat="1" ht="15.75">
      <c r="A279" s="357">
        <v>6.2</v>
      </c>
      <c r="B279" s="358" t="s">
        <v>367</v>
      </c>
      <c r="C279" s="62" t="s">
        <v>37</v>
      </c>
      <c r="D279" s="214" t="s">
        <v>72</v>
      </c>
      <c r="E279" s="359">
        <v>1783.33</v>
      </c>
      <c r="F279" s="360">
        <v>2</v>
      </c>
      <c r="G279" s="361">
        <v>3566.66</v>
      </c>
      <c r="H279" s="360">
        <v>2</v>
      </c>
      <c r="I279" s="361">
        <v>3566.66</v>
      </c>
      <c r="J279" s="177">
        <f>L279/K279</f>
        <v>1781.25</v>
      </c>
      <c r="K279" s="214">
        <v>2</v>
      </c>
      <c r="L279" s="366">
        <v>3562.5</v>
      </c>
      <c r="M279" s="214">
        <v>2</v>
      </c>
      <c r="N279" s="366">
        <v>3562.5</v>
      </c>
      <c r="O279" s="214" t="s">
        <v>72</v>
      </c>
      <c r="P279" s="128" t="s">
        <v>378</v>
      </c>
      <c r="Q279" s="88">
        <f t="shared" si="128"/>
        <v>0</v>
      </c>
      <c r="R279" s="85">
        <f t="shared" si="129"/>
        <v>4.1599999999998545</v>
      </c>
      <c r="S279" s="86">
        <f t="shared" si="130"/>
        <v>-4.1599999999998545</v>
      </c>
      <c r="T279" s="224">
        <f t="shared" si="131"/>
        <v>-1.1663573202940159E-3</v>
      </c>
      <c r="U279" s="234"/>
      <c r="V279" s="61"/>
    </row>
    <row r="280" spans="1:22" s="59" customFormat="1" ht="31.5">
      <c r="A280" s="357">
        <v>6.3</v>
      </c>
      <c r="B280" s="358" t="s">
        <v>368</v>
      </c>
      <c r="C280" s="62" t="s">
        <v>37</v>
      </c>
      <c r="D280" s="214" t="s">
        <v>95</v>
      </c>
      <c r="E280" s="359">
        <v>1140.1690000000001</v>
      </c>
      <c r="F280" s="360">
        <v>2</v>
      </c>
      <c r="G280" s="361">
        <v>2280.3380000000002</v>
      </c>
      <c r="H280" s="181"/>
      <c r="I280" s="180"/>
      <c r="J280" s="177">
        <f>L280/K280</f>
        <v>930.9375</v>
      </c>
      <c r="K280" s="214">
        <v>2</v>
      </c>
      <c r="L280" s="177">
        <v>1861.875</v>
      </c>
      <c r="M280" s="214"/>
      <c r="N280" s="214"/>
      <c r="O280" s="214"/>
      <c r="P280" s="128"/>
      <c r="Q280" s="88">
        <f t="shared" si="128"/>
        <v>-2</v>
      </c>
      <c r="R280" s="85">
        <f t="shared" si="129"/>
        <v>-1861.875</v>
      </c>
      <c r="S280" s="86">
        <f t="shared" si="130"/>
        <v>1861.875</v>
      </c>
      <c r="T280" s="224">
        <f t="shared" si="131"/>
        <v>-0.18350919907487406</v>
      </c>
      <c r="U280" s="234"/>
      <c r="V280" s="61"/>
    </row>
    <row r="281" spans="1:22" s="59" customFormat="1" ht="15.75">
      <c r="A281" s="357">
        <v>6.4</v>
      </c>
      <c r="B281" s="358" t="s">
        <v>369</v>
      </c>
      <c r="C281" s="62" t="s">
        <v>37</v>
      </c>
      <c r="D281" s="214" t="s">
        <v>95</v>
      </c>
      <c r="E281" s="359">
        <v>400</v>
      </c>
      <c r="F281" s="360">
        <v>7</v>
      </c>
      <c r="G281" s="361">
        <v>2800</v>
      </c>
      <c r="H281" s="181"/>
      <c r="I281" s="180"/>
      <c r="J281" s="177">
        <f>L281/K281</f>
        <v>365</v>
      </c>
      <c r="K281" s="214">
        <v>7</v>
      </c>
      <c r="L281" s="93">
        <v>2555</v>
      </c>
      <c r="M281" s="214">
        <v>7</v>
      </c>
      <c r="N281" s="93">
        <v>2555</v>
      </c>
      <c r="O281" s="214" t="s">
        <v>95</v>
      </c>
      <c r="P281" s="128" t="s">
        <v>378</v>
      </c>
      <c r="Q281" s="88">
        <f t="shared" ref="Q281:Q282" si="132">H281-K281</f>
        <v>-7</v>
      </c>
      <c r="R281" s="85">
        <f t="shared" ref="R281:R282" si="133">I281-L281</f>
        <v>-2555</v>
      </c>
      <c r="S281" s="86">
        <f t="shared" si="130"/>
        <v>2555</v>
      </c>
      <c r="T281" s="224">
        <f t="shared" ref="T281:T282" si="134">(J281-E281)/E281</f>
        <v>-8.7499999999999994E-2</v>
      </c>
      <c r="U281" s="280"/>
      <c r="V281" s="61"/>
    </row>
    <row r="282" spans="1:22" s="59" customFormat="1" ht="31.5">
      <c r="A282" s="357">
        <v>6.5</v>
      </c>
      <c r="B282" s="358" t="s">
        <v>370</v>
      </c>
      <c r="C282" s="62" t="s">
        <v>37</v>
      </c>
      <c r="D282" s="214" t="s">
        <v>95</v>
      </c>
      <c r="E282" s="214">
        <v>463.33</v>
      </c>
      <c r="F282" s="362">
        <v>3</v>
      </c>
      <c r="G282" s="361">
        <v>1389.99</v>
      </c>
      <c r="H282" s="181">
        <v>3</v>
      </c>
      <c r="I282" s="371">
        <v>1389.99</v>
      </c>
      <c r="J282" s="85"/>
      <c r="K282" s="92"/>
      <c r="L282" s="93"/>
      <c r="M282" s="92"/>
      <c r="N282" s="93"/>
      <c r="O282" s="93"/>
      <c r="P282" s="128"/>
      <c r="Q282" s="88">
        <f t="shared" si="132"/>
        <v>3</v>
      </c>
      <c r="R282" s="85">
        <f t="shared" si="133"/>
        <v>1389.99</v>
      </c>
      <c r="S282" s="86">
        <f t="shared" si="130"/>
        <v>-1389.99</v>
      </c>
      <c r="T282" s="224">
        <f t="shared" si="134"/>
        <v>-1</v>
      </c>
      <c r="U282" s="280"/>
      <c r="V282" s="61"/>
    </row>
    <row r="283" spans="1:22" s="59" customFormat="1" ht="15.75">
      <c r="A283" s="357">
        <v>6.6</v>
      </c>
      <c r="B283" s="358" t="s">
        <v>371</v>
      </c>
      <c r="C283" s="62" t="s">
        <v>37</v>
      </c>
      <c r="D283" s="214" t="s">
        <v>95</v>
      </c>
      <c r="E283" s="359">
        <v>416.3</v>
      </c>
      <c r="F283" s="360">
        <v>2</v>
      </c>
      <c r="G283" s="361">
        <v>832.6</v>
      </c>
      <c r="H283" s="181">
        <v>2</v>
      </c>
      <c r="I283" s="371">
        <v>832.6</v>
      </c>
      <c r="J283" s="85"/>
      <c r="K283" s="92"/>
      <c r="L283" s="93"/>
      <c r="M283" s="92"/>
      <c r="N283" s="93"/>
      <c r="O283" s="93"/>
      <c r="P283" s="128"/>
      <c r="Q283" s="88">
        <f t="shared" si="128"/>
        <v>2</v>
      </c>
      <c r="R283" s="85">
        <f t="shared" si="129"/>
        <v>832.6</v>
      </c>
      <c r="S283" s="86">
        <f t="shared" si="130"/>
        <v>-832.6</v>
      </c>
      <c r="T283" s="224">
        <f t="shared" si="131"/>
        <v>-1</v>
      </c>
      <c r="U283" s="234"/>
      <c r="V283" s="61"/>
    </row>
    <row r="284" spans="1:22" s="59" customFormat="1" ht="31.5">
      <c r="A284" s="357">
        <v>6.7</v>
      </c>
      <c r="B284" s="358" t="s">
        <v>372</v>
      </c>
      <c r="C284" s="62" t="s">
        <v>37</v>
      </c>
      <c r="D284" s="214" t="s">
        <v>95</v>
      </c>
      <c r="E284" s="359">
        <v>2070</v>
      </c>
      <c r="F284" s="360">
        <v>1</v>
      </c>
      <c r="G284" s="361">
        <v>2070</v>
      </c>
      <c r="H284" s="181"/>
      <c r="I284" s="180"/>
      <c r="J284" s="85"/>
      <c r="K284" s="92"/>
      <c r="L284" s="93"/>
      <c r="M284" s="92"/>
      <c r="N284" s="93"/>
      <c r="O284" s="93"/>
      <c r="P284" s="128"/>
      <c r="Q284" s="88">
        <f t="shared" si="128"/>
        <v>0</v>
      </c>
      <c r="R284" s="85">
        <f t="shared" si="129"/>
        <v>0</v>
      </c>
      <c r="S284" s="86">
        <f t="shared" si="130"/>
        <v>0</v>
      </c>
      <c r="T284" s="224">
        <f t="shared" si="131"/>
        <v>-1</v>
      </c>
      <c r="U284" s="234"/>
      <c r="V284" s="61"/>
    </row>
    <row r="285" spans="1:22" s="59" customFormat="1" ht="15.75">
      <c r="A285" s="449" t="s">
        <v>32</v>
      </c>
      <c r="B285" s="449"/>
      <c r="C285" s="449"/>
      <c r="D285" s="449"/>
      <c r="E285" s="449"/>
      <c r="F285" s="117"/>
      <c r="G285" s="111">
        <f>SUM(G278:G284)</f>
        <v>14772.588</v>
      </c>
      <c r="H285" s="110"/>
      <c r="I285" s="111">
        <f>SUM(I278:I284)</f>
        <v>7622.25</v>
      </c>
      <c r="J285" s="111"/>
      <c r="K285" s="111"/>
      <c r="L285" s="111">
        <f t="shared" ref="L285:N285" si="135">SUM(L278:L284)</f>
        <v>7979.375</v>
      </c>
      <c r="M285" s="111"/>
      <c r="N285" s="111">
        <f t="shared" si="135"/>
        <v>6117.5</v>
      </c>
      <c r="O285" s="111"/>
      <c r="P285" s="111"/>
      <c r="Q285" s="111"/>
      <c r="R285" s="111">
        <f>SUM(R278:R284)</f>
        <v>-357.12500000000011</v>
      </c>
      <c r="S285" s="111">
        <f t="shared" si="130"/>
        <v>357.125</v>
      </c>
      <c r="T285" s="115"/>
      <c r="U285" s="116"/>
      <c r="V285" s="116"/>
    </row>
    <row r="286" spans="1:22" s="59" customFormat="1" ht="15.75">
      <c r="A286" s="458" t="s">
        <v>33</v>
      </c>
      <c r="B286" s="459"/>
      <c r="C286" s="459"/>
      <c r="D286" s="459"/>
      <c r="E286" s="459"/>
      <c r="F286" s="459"/>
      <c r="G286" s="459"/>
      <c r="H286" s="459"/>
      <c r="I286" s="459"/>
      <c r="J286" s="459"/>
      <c r="K286" s="459"/>
      <c r="L286" s="459"/>
      <c r="M286" s="459"/>
      <c r="N286" s="459"/>
      <c r="O286" s="459"/>
      <c r="P286" s="459"/>
      <c r="Q286" s="459"/>
      <c r="R286" s="459"/>
      <c r="S286" s="459"/>
      <c r="T286" s="459"/>
      <c r="U286" s="459"/>
      <c r="V286" s="460"/>
    </row>
    <row r="287" spans="1:22" s="59" customFormat="1" ht="47.25">
      <c r="A287" s="63" t="s">
        <v>148</v>
      </c>
      <c r="B287" s="358" t="s">
        <v>373</v>
      </c>
      <c r="C287" s="62" t="s">
        <v>83</v>
      </c>
      <c r="D287" s="214" t="s">
        <v>72</v>
      </c>
      <c r="E287" s="359">
        <v>121</v>
      </c>
      <c r="F287" s="360">
        <v>9</v>
      </c>
      <c r="G287" s="361">
        <f>E287*F287</f>
        <v>1089</v>
      </c>
      <c r="H287" s="360">
        <v>9</v>
      </c>
      <c r="I287" s="361">
        <v>1089</v>
      </c>
      <c r="J287" s="159">
        <v>114.5</v>
      </c>
      <c r="K287" s="160">
        <v>9</v>
      </c>
      <c r="L287" s="161">
        <f>J287*K287</f>
        <v>1030.5</v>
      </c>
      <c r="M287" s="160">
        <v>9</v>
      </c>
      <c r="N287" s="161">
        <f>J287*M287</f>
        <v>1030.5</v>
      </c>
      <c r="O287" s="214" t="s">
        <v>72</v>
      </c>
      <c r="P287" s="128" t="s">
        <v>378</v>
      </c>
      <c r="Q287" s="88">
        <f t="shared" ref="Q287:Q289" si="136">H287-K287</f>
        <v>0</v>
      </c>
      <c r="R287" s="85">
        <f t="shared" ref="R287:R289" si="137">I287-L287</f>
        <v>58.5</v>
      </c>
      <c r="S287" s="86">
        <f t="shared" si="130"/>
        <v>-58.5</v>
      </c>
      <c r="T287" s="224">
        <f t="shared" ref="T287:T289" si="138">(J287-E287)/E287</f>
        <v>-5.3719008264462811E-2</v>
      </c>
      <c r="U287" s="234"/>
      <c r="V287" s="61"/>
    </row>
    <row r="288" spans="1:22" s="59" customFormat="1" ht="47.25">
      <c r="A288" s="63" t="s">
        <v>149</v>
      </c>
      <c r="B288" s="358" t="s">
        <v>374</v>
      </c>
      <c r="C288" s="62" t="s">
        <v>83</v>
      </c>
      <c r="D288" s="214" t="s">
        <v>72</v>
      </c>
      <c r="E288" s="359">
        <v>52</v>
      </c>
      <c r="F288" s="360">
        <v>1</v>
      </c>
      <c r="G288" s="361">
        <f>E288*F288</f>
        <v>52</v>
      </c>
      <c r="H288" s="360">
        <v>1</v>
      </c>
      <c r="I288" s="361">
        <v>52</v>
      </c>
      <c r="J288" s="159">
        <f>L288/K288</f>
        <v>51.9</v>
      </c>
      <c r="K288" s="160">
        <v>1</v>
      </c>
      <c r="L288" s="161">
        <v>51.9</v>
      </c>
      <c r="M288" s="160">
        <v>1</v>
      </c>
      <c r="N288" s="161">
        <f t="shared" ref="N288:N289" si="139">J288*M288</f>
        <v>51.9</v>
      </c>
      <c r="O288" s="214" t="s">
        <v>72</v>
      </c>
      <c r="P288" s="128" t="s">
        <v>378</v>
      </c>
      <c r="Q288" s="88">
        <f t="shared" si="136"/>
        <v>0</v>
      </c>
      <c r="R288" s="85">
        <f t="shared" si="137"/>
        <v>0.10000000000000142</v>
      </c>
      <c r="S288" s="86">
        <f t="shared" si="130"/>
        <v>-0.10000000000000142</v>
      </c>
      <c r="T288" s="224">
        <f t="shared" si="138"/>
        <v>-1.9230769230769505E-3</v>
      </c>
      <c r="U288" s="234"/>
      <c r="V288" s="61"/>
    </row>
    <row r="289" spans="1:22" s="59" customFormat="1" ht="31.5">
      <c r="A289" s="63" t="s">
        <v>150</v>
      </c>
      <c r="B289" s="358" t="s">
        <v>379</v>
      </c>
      <c r="C289" s="62" t="s">
        <v>83</v>
      </c>
      <c r="D289" s="214" t="s">
        <v>72</v>
      </c>
      <c r="E289" s="359">
        <v>8.33</v>
      </c>
      <c r="F289" s="360">
        <v>39</v>
      </c>
      <c r="G289" s="361">
        <f>E289*F289</f>
        <v>324.87</v>
      </c>
      <c r="H289" s="360">
        <v>39</v>
      </c>
      <c r="I289" s="361">
        <v>324.87</v>
      </c>
      <c r="J289" s="159">
        <v>8.33</v>
      </c>
      <c r="K289" s="160">
        <v>39</v>
      </c>
      <c r="L289" s="161">
        <f>K289*J289</f>
        <v>324.87</v>
      </c>
      <c r="M289" s="237">
        <v>5</v>
      </c>
      <c r="N289" s="161">
        <f t="shared" si="139"/>
        <v>41.65</v>
      </c>
      <c r="O289" s="214" t="s">
        <v>72</v>
      </c>
      <c r="P289" s="128" t="s">
        <v>378</v>
      </c>
      <c r="Q289" s="88">
        <f t="shared" si="136"/>
        <v>0</v>
      </c>
      <c r="R289" s="85">
        <f t="shared" si="137"/>
        <v>0</v>
      </c>
      <c r="S289" s="86">
        <f t="shared" si="130"/>
        <v>0</v>
      </c>
      <c r="T289" s="224">
        <f t="shared" si="138"/>
        <v>0</v>
      </c>
      <c r="U289" s="234"/>
      <c r="V289" s="61"/>
    </row>
    <row r="290" spans="1:22" s="59" customFormat="1" ht="15.75">
      <c r="A290" s="449" t="s">
        <v>34</v>
      </c>
      <c r="B290" s="449"/>
      <c r="C290" s="449"/>
      <c r="D290" s="449"/>
      <c r="E290" s="449"/>
      <c r="F290" s="117"/>
      <c r="G290" s="111">
        <f>SUM(G287:G289)</f>
        <v>1465.87</v>
      </c>
      <c r="H290" s="110"/>
      <c r="I290" s="111">
        <f>SUM(I287:I289)</f>
        <v>1465.87</v>
      </c>
      <c r="J290" s="111"/>
      <c r="K290" s="111"/>
      <c r="L290" s="111">
        <f>SUM(L287:L289)</f>
        <v>1407.27</v>
      </c>
      <c r="M290" s="110"/>
      <c r="N290" s="111">
        <f>SUM(N287:N289)</f>
        <v>1124.0500000000002</v>
      </c>
      <c r="O290" s="111"/>
      <c r="P290" s="110"/>
      <c r="Q290" s="115"/>
      <c r="R290" s="113">
        <f>I290-L290</f>
        <v>58.599999999999909</v>
      </c>
      <c r="S290" s="113">
        <f t="shared" si="130"/>
        <v>-58.599999999999909</v>
      </c>
      <c r="T290" s="115"/>
      <c r="U290" s="116"/>
      <c r="V290" s="116"/>
    </row>
    <row r="291" spans="1:22" s="59" customFormat="1" ht="18.75">
      <c r="A291" s="461" t="s">
        <v>57</v>
      </c>
      <c r="B291" s="461"/>
      <c r="C291" s="461"/>
      <c r="D291" s="461"/>
      <c r="E291" s="461"/>
      <c r="F291" s="126"/>
      <c r="G291" s="118">
        <f>G290+G285+G275+G265+G249+G245+G222</f>
        <v>233789.99869899999</v>
      </c>
      <c r="H291" s="118"/>
      <c r="I291" s="118">
        <f>I290+I285+I275+I265+I249+I245+I222</f>
        <v>105205.9995205</v>
      </c>
      <c r="J291" s="118"/>
      <c r="K291" s="118"/>
      <c r="L291" s="118">
        <f>L290+L285+L275+L265+L249+L245+L222</f>
        <v>150948.57756783333</v>
      </c>
      <c r="M291" s="118"/>
      <c r="N291" s="118">
        <f>N290+N285+N275+N265+N249+N245+N222</f>
        <v>101083.64495333334</v>
      </c>
      <c r="O291" s="118"/>
      <c r="P291" s="124"/>
      <c r="Q291" s="127"/>
      <c r="R291" s="119">
        <f>I291-L291</f>
        <v>-45742.578047333329</v>
      </c>
      <c r="S291" s="119">
        <f t="shared" si="130"/>
        <v>45742.578047333329</v>
      </c>
      <c r="T291" s="115"/>
      <c r="U291" s="116"/>
      <c r="V291" s="116"/>
    </row>
    <row r="292" spans="1:22" s="59" customFormat="1" ht="18.75">
      <c r="A292" s="381"/>
      <c r="B292" s="381"/>
      <c r="C292" s="381"/>
      <c r="D292" s="381"/>
      <c r="E292" s="381"/>
      <c r="F292" s="382"/>
      <c r="G292" s="383"/>
      <c r="H292" s="383"/>
      <c r="I292" s="383"/>
      <c r="J292" s="383"/>
      <c r="K292" s="383"/>
      <c r="L292" s="383"/>
      <c r="M292" s="383"/>
      <c r="N292" s="383"/>
      <c r="O292" s="383"/>
      <c r="P292" s="384"/>
      <c r="Q292" s="385"/>
      <c r="R292" s="386"/>
      <c r="S292" s="386"/>
      <c r="T292" s="74"/>
      <c r="U292" s="75"/>
      <c r="V292" s="75"/>
    </row>
    <row r="293" spans="1:22" s="59" customFormat="1">
      <c r="A293" s="377" t="s">
        <v>417</v>
      </c>
      <c r="B293" s="377"/>
      <c r="C293" s="71"/>
      <c r="D293" s="71"/>
      <c r="E293" s="71"/>
      <c r="F293" s="72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4"/>
      <c r="R293" s="74"/>
      <c r="S293" s="74"/>
      <c r="T293" s="74"/>
      <c r="U293" s="75"/>
      <c r="V293" s="75"/>
    </row>
    <row r="294" spans="1:22" s="59" customFormat="1">
      <c r="A294" s="378" t="s">
        <v>418</v>
      </c>
      <c r="B294" s="379"/>
      <c r="C294" s="379"/>
      <c r="D294" s="379"/>
      <c r="E294" s="379"/>
      <c r="F294" s="379"/>
      <c r="G294" s="379"/>
      <c r="H294" s="379"/>
      <c r="I294" s="379"/>
      <c r="J294" s="379"/>
      <c r="K294" s="379"/>
      <c r="L294" s="379"/>
      <c r="M294" s="380"/>
      <c r="N294" s="380"/>
      <c r="O294" s="380"/>
      <c r="P294" s="73"/>
      <c r="Q294" s="74"/>
      <c r="R294" s="74"/>
      <c r="S294" s="74"/>
      <c r="T294" s="74"/>
      <c r="U294" s="75"/>
      <c r="V294" s="75"/>
    </row>
    <row r="295" spans="1:22" s="59" customFormat="1">
      <c r="A295" s="444" t="s">
        <v>419</v>
      </c>
      <c r="B295" s="444"/>
      <c r="C295" s="444"/>
      <c r="D295" s="444"/>
      <c r="E295" s="444"/>
      <c r="F295" s="444"/>
      <c r="G295" s="444"/>
      <c r="H295" s="444"/>
      <c r="I295" s="444"/>
      <c r="J295" s="444"/>
      <c r="K295" s="444"/>
      <c r="L295" s="444"/>
      <c r="M295" s="444"/>
      <c r="N295" s="444"/>
      <c r="O295" s="444"/>
      <c r="P295" s="444"/>
      <c r="Q295" s="444"/>
      <c r="R295" s="444"/>
      <c r="S295" s="444"/>
      <c r="T295" s="74"/>
      <c r="U295" s="75"/>
      <c r="V295" s="75"/>
    </row>
    <row r="296" spans="1:22" ht="18.75" customHeight="1">
      <c r="L296" s="236"/>
      <c r="U296" s="57"/>
    </row>
    <row r="297" spans="1:22" s="80" customFormat="1" ht="18.75" customHeight="1">
      <c r="A297" s="44"/>
      <c r="B297" s="76" t="s">
        <v>45</v>
      </c>
      <c r="C297" s="77"/>
      <c r="D297" s="77"/>
      <c r="E297" s="77"/>
      <c r="F297" s="77"/>
      <c r="G297" s="77"/>
      <c r="H297" s="77"/>
      <c r="I297" s="77"/>
      <c r="J297" s="122" t="s">
        <v>157</v>
      </c>
      <c r="K297" s="78"/>
      <c r="L297" s="78"/>
      <c r="M297" s="77"/>
      <c r="N297" s="77"/>
      <c r="O297" s="77"/>
      <c r="P297" s="79"/>
      <c r="Q297" s="79"/>
      <c r="R297" s="79"/>
      <c r="S297" s="79"/>
      <c r="T297" s="79"/>
      <c r="U297" s="185"/>
      <c r="V297" s="79"/>
    </row>
    <row r="298" spans="1:22" s="80" customFormat="1" ht="15.75">
      <c r="A298" s="48"/>
      <c r="B298" s="81" t="s">
        <v>46</v>
      </c>
      <c r="C298" s="77"/>
      <c r="D298" s="77"/>
      <c r="E298" s="77"/>
      <c r="F298" s="77"/>
      <c r="G298" s="77"/>
      <c r="H298" s="77"/>
      <c r="I298" s="77"/>
      <c r="J298" s="78" t="s">
        <v>17</v>
      </c>
      <c r="K298" s="78"/>
      <c r="L298" s="277"/>
      <c r="M298" s="77"/>
      <c r="N298" s="77"/>
      <c r="O298" s="77"/>
      <c r="P298" s="79"/>
      <c r="Q298" s="79"/>
      <c r="R298" s="79"/>
      <c r="S298" s="79"/>
      <c r="T298" s="79"/>
      <c r="U298" s="185"/>
      <c r="V298" s="79"/>
    </row>
    <row r="299" spans="1:22" s="80" customFormat="1" ht="15.75">
      <c r="A299" s="77"/>
      <c r="B299" s="81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162"/>
      <c r="Q299" s="79"/>
      <c r="R299" s="79"/>
      <c r="S299" s="79"/>
      <c r="T299" s="79"/>
      <c r="U299" s="185"/>
      <c r="V299" s="79"/>
    </row>
    <row r="300" spans="1:22" s="80" customFormat="1" ht="15.75">
      <c r="A300" s="77"/>
      <c r="B300" s="163" t="s">
        <v>437</v>
      </c>
      <c r="C300" s="77"/>
      <c r="D300" s="79"/>
      <c r="E300" s="82"/>
      <c r="F300" s="456" t="s">
        <v>47</v>
      </c>
      <c r="G300" s="456"/>
      <c r="H300" s="77"/>
      <c r="I300" s="77"/>
      <c r="J300" s="77"/>
      <c r="K300" s="77"/>
      <c r="L300" s="77"/>
      <c r="M300" s="77"/>
      <c r="N300" s="77"/>
      <c r="O300" s="77"/>
      <c r="P300" s="79"/>
      <c r="Q300" s="79"/>
      <c r="R300" s="79"/>
      <c r="S300" s="79"/>
      <c r="T300" s="79"/>
      <c r="U300" s="185"/>
      <c r="V300" s="79"/>
    </row>
    <row r="301" spans="1:22" s="84" customFormat="1" ht="12.75">
      <c r="A301" s="36"/>
      <c r="B301" s="36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U301" s="182"/>
    </row>
    <row r="303" spans="1:22" ht="15.75">
      <c r="A303" s="457"/>
      <c r="B303" s="457"/>
      <c r="C303" s="457"/>
      <c r="D303" s="457"/>
      <c r="E303" s="457"/>
      <c r="F303" s="457"/>
      <c r="G303" s="457"/>
      <c r="H303" s="457"/>
      <c r="I303" s="457"/>
      <c r="J303" s="457"/>
      <c r="K303" s="457"/>
      <c r="L303" s="457"/>
      <c r="M303" s="457"/>
    </row>
  </sheetData>
  <mergeCells count="109">
    <mergeCell ref="P86:P91"/>
    <mergeCell ref="P92:P93"/>
    <mergeCell ref="P94:P98"/>
    <mergeCell ref="P100:P102"/>
    <mergeCell ref="P103:P105"/>
    <mergeCell ref="P106:P110"/>
    <mergeCell ref="P112:P113"/>
    <mergeCell ref="P147:P149"/>
    <mergeCell ref="P150:P151"/>
    <mergeCell ref="P115:P116"/>
    <mergeCell ref="P117:P118"/>
    <mergeCell ref="P119:P120"/>
    <mergeCell ref="P123:P126"/>
    <mergeCell ref="P127:P128"/>
    <mergeCell ref="P129:P133"/>
    <mergeCell ref="P134:P138"/>
    <mergeCell ref="P140:P143"/>
    <mergeCell ref="P145:P146"/>
    <mergeCell ref="A1:V1"/>
    <mergeCell ref="A2:A5"/>
    <mergeCell ref="B2:B5"/>
    <mergeCell ref="C2:C5"/>
    <mergeCell ref="D2:G3"/>
    <mergeCell ref="H2:I3"/>
    <mergeCell ref="J2:N2"/>
    <mergeCell ref="P2:P5"/>
    <mergeCell ref="Q2:R3"/>
    <mergeCell ref="J3:L3"/>
    <mergeCell ref="M3:N3"/>
    <mergeCell ref="V2:V5"/>
    <mergeCell ref="I4:I5"/>
    <mergeCell ref="D4:D5"/>
    <mergeCell ref="N4:N5"/>
    <mergeCell ref="Q4:Q5"/>
    <mergeCell ref="K4:K5"/>
    <mergeCell ref="L4:L5"/>
    <mergeCell ref="M4:M5"/>
    <mergeCell ref="H4:H5"/>
    <mergeCell ref="O2:O5"/>
    <mergeCell ref="S2:S5"/>
    <mergeCell ref="G4:G5"/>
    <mergeCell ref="A7:V7"/>
    <mergeCell ref="A222:E222"/>
    <mergeCell ref="A223:V223"/>
    <mergeCell ref="J4:J5"/>
    <mergeCell ref="T2:T5"/>
    <mergeCell ref="U2:U5"/>
    <mergeCell ref="A233:E233"/>
    <mergeCell ref="A236:B236"/>
    <mergeCell ref="A232:B232"/>
    <mergeCell ref="R4:R5"/>
    <mergeCell ref="E4:E5"/>
    <mergeCell ref="F4:F5"/>
    <mergeCell ref="P56:P61"/>
    <mergeCell ref="P67:P69"/>
    <mergeCell ref="P10:P14"/>
    <mergeCell ref="P16:P21"/>
    <mergeCell ref="P22:P26"/>
    <mergeCell ref="P28:P32"/>
    <mergeCell ref="P33:P37"/>
    <mergeCell ref="P39:P43"/>
    <mergeCell ref="P44:P45"/>
    <mergeCell ref="P46:P47"/>
    <mergeCell ref="P49:P54"/>
    <mergeCell ref="P63:P65"/>
    <mergeCell ref="O28:O32"/>
    <mergeCell ref="F300:G300"/>
    <mergeCell ref="A303:M303"/>
    <mergeCell ref="A285:E285"/>
    <mergeCell ref="A286:V286"/>
    <mergeCell ref="A290:E290"/>
    <mergeCell ref="A291:E291"/>
    <mergeCell ref="A246:V246"/>
    <mergeCell ref="A277:B277"/>
    <mergeCell ref="A250:V250"/>
    <mergeCell ref="A251:B251"/>
    <mergeCell ref="A255:B255"/>
    <mergeCell ref="A256:B256"/>
    <mergeCell ref="A261:B261"/>
    <mergeCell ref="A262:B262"/>
    <mergeCell ref="A264:B264"/>
    <mergeCell ref="A265:E265"/>
    <mergeCell ref="A266:V266"/>
    <mergeCell ref="A275:E275"/>
    <mergeCell ref="A276:V276"/>
    <mergeCell ref="P70:P72"/>
    <mergeCell ref="P74:P77"/>
    <mergeCell ref="P78:P80"/>
    <mergeCell ref="P81:P84"/>
    <mergeCell ref="O39:O43"/>
    <mergeCell ref="O44:O45"/>
    <mergeCell ref="O46:O47"/>
    <mergeCell ref="O100:O102"/>
    <mergeCell ref="O106:O110"/>
    <mergeCell ref="O78:O80"/>
    <mergeCell ref="O81:O84"/>
    <mergeCell ref="O86:O91"/>
    <mergeCell ref="O92:O93"/>
    <mergeCell ref="O94:O98"/>
    <mergeCell ref="A295:S295"/>
    <mergeCell ref="O134:O138"/>
    <mergeCell ref="O123:O126"/>
    <mergeCell ref="A249:E249"/>
    <mergeCell ref="A245:E245"/>
    <mergeCell ref="A240:E240"/>
    <mergeCell ref="A244:B244"/>
    <mergeCell ref="A239:B239"/>
    <mergeCell ref="A237:E237"/>
    <mergeCell ref="P152:P156"/>
  </mergeCells>
  <pageMargins left="0.43307086614173229" right="0.19685039370078741" top="0.31496062992125984" bottom="0.35433070866141736" header="0.23622047244094491" footer="0.27559055118110237"/>
  <pageSetup paperSize="9" scale="38" orientation="landscape" r:id="rId1"/>
  <headerFooter alignWithMargins="0"/>
  <rowBreaks count="4" manualBreakCount="4">
    <brk id="190" max="19" man="1"/>
    <brk id="227" max="19" man="1"/>
    <brk id="275" max="19" man="1"/>
    <brk id="303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Загальна інформація</vt:lpstr>
      <vt:lpstr>1. Зведений звіт</vt:lpstr>
      <vt:lpstr>2. Детальний звіт</vt:lpstr>
      <vt:lpstr>'1. Зведений звіт'!Область_печати</vt:lpstr>
      <vt:lpstr>'2. Детальний звіт'!Область_печати</vt:lpstr>
      <vt:lpstr>'Загальна інформація'!Область_печати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Mykola Pavliv</dc:creator>
  <cp:lastModifiedBy>Volodymyr Yanchuk</cp:lastModifiedBy>
  <cp:lastPrinted>2021-07-19T05:21:53Z</cp:lastPrinted>
  <dcterms:created xsi:type="dcterms:W3CDTF">1996-10-08T23:32:33Z</dcterms:created>
  <dcterms:modified xsi:type="dcterms:W3CDTF">2021-07-19T10:09:23Z</dcterms:modified>
</cp:coreProperties>
</file>