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Documents\D\ВТС\Інвестиційні програми\ІП-2021\виконання\березень\"/>
    </mc:Choice>
  </mc:AlternateContent>
  <bookViews>
    <workbookView xWindow="0" yWindow="0" windowWidth="25200" windowHeight="11550" tabRatio="862" activeTab="1"/>
  </bookViews>
  <sheets>
    <sheet name="Загальна інформація" sheetId="2" r:id="rId1"/>
    <sheet name="1. Зведений звіт" sheetId="1" r:id="rId2"/>
    <sheet name="2. Детальний звіт" sheetId="24" r:id="rId3"/>
  </sheets>
  <definedNames>
    <definedName name="_xlnm.Print_Area" localSheetId="1">'1. Зведений звіт'!$A$1:$H$21</definedName>
    <definedName name="_xlnm.Print_Area" localSheetId="2">'2. Детальний звіт'!$A$1:$T$297</definedName>
    <definedName name="_xlnm.Print_Area" localSheetId="0">'Загальна інформація'!$A$1:$E$29</definedName>
  </definedNames>
  <calcPr calcId="152511"/>
</workbook>
</file>

<file path=xl/calcChain.xml><?xml version="1.0" encoding="utf-8"?>
<calcChain xmlns="http://schemas.openxmlformats.org/spreadsheetml/2006/main">
  <c r="Q261" i="24" l="1"/>
  <c r="J279" i="24" l="1"/>
  <c r="J281" i="24" l="1"/>
  <c r="L263" i="24"/>
  <c r="L254" i="24"/>
  <c r="N253" i="24"/>
  <c r="L253" i="24"/>
  <c r="L252" i="24"/>
  <c r="N252" i="24" s="1"/>
  <c r="J243" i="24" l="1"/>
  <c r="J242" i="24"/>
  <c r="J238" i="24"/>
  <c r="K235" i="24"/>
  <c r="K234" i="24"/>
  <c r="J231" i="24"/>
  <c r="J230" i="24"/>
  <c r="J227" i="24"/>
  <c r="J226" i="24"/>
  <c r="K158" i="24"/>
  <c r="K157" i="24"/>
  <c r="J157" i="24" l="1"/>
  <c r="J158" i="24"/>
  <c r="J180" i="24"/>
  <c r="K180" i="24"/>
  <c r="J183" i="24"/>
  <c r="L180" i="24"/>
  <c r="L183" i="24"/>
  <c r="J153" i="24"/>
  <c r="N152" i="24"/>
  <c r="M152" i="24"/>
  <c r="L152" i="24"/>
  <c r="K152" i="24"/>
  <c r="J152" i="24" s="1"/>
  <c r="J128" i="24"/>
  <c r="N127" i="24"/>
  <c r="M127" i="24"/>
  <c r="L127" i="24"/>
  <c r="J127" i="24" s="1"/>
  <c r="K127" i="24"/>
  <c r="N69" i="24"/>
  <c r="L69" i="24"/>
  <c r="J69" i="24" s="1"/>
  <c r="N68" i="24"/>
  <c r="N67" i="24" s="1"/>
  <c r="L68" i="24"/>
  <c r="J68" i="24"/>
  <c r="M67" i="24"/>
  <c r="K67" i="24"/>
  <c r="N61" i="24"/>
  <c r="L61" i="24"/>
  <c r="J61" i="24"/>
  <c r="N60" i="24"/>
  <c r="L60" i="24"/>
  <c r="J60" i="24"/>
  <c r="N59" i="24"/>
  <c r="L59" i="24"/>
  <c r="J59" i="24"/>
  <c r="N58" i="24"/>
  <c r="L58" i="24"/>
  <c r="J58" i="24" s="1"/>
  <c r="N57" i="24"/>
  <c r="N56" i="24" s="1"/>
  <c r="L57" i="24"/>
  <c r="J57" i="24"/>
  <c r="M56" i="24"/>
  <c r="K56" i="24"/>
  <c r="J51" i="24"/>
  <c r="J50" i="24"/>
  <c r="N49" i="24"/>
  <c r="M49" i="24"/>
  <c r="L49" i="24"/>
  <c r="K49" i="24"/>
  <c r="J49" i="24"/>
  <c r="N24" i="24"/>
  <c r="L24" i="24"/>
  <c r="J24" i="24" s="1"/>
  <c r="N23" i="24"/>
  <c r="N22" i="24" s="1"/>
  <c r="L23" i="24"/>
  <c r="J23" i="24"/>
  <c r="M22" i="24"/>
  <c r="K22" i="24"/>
  <c r="N21" i="24"/>
  <c r="L21" i="24"/>
  <c r="J21" i="24"/>
  <c r="N20" i="24"/>
  <c r="L20" i="24"/>
  <c r="J20" i="24"/>
  <c r="N18" i="24"/>
  <c r="L18" i="24"/>
  <c r="J18" i="24"/>
  <c r="N17" i="24"/>
  <c r="N16" i="24" s="1"/>
  <c r="L17" i="24"/>
  <c r="J17" i="24" s="1"/>
  <c r="M16" i="24"/>
  <c r="L16" i="24"/>
  <c r="J16" i="24" s="1"/>
  <c r="K16" i="24"/>
  <c r="L56" i="24" l="1"/>
  <c r="J56" i="24" s="1"/>
  <c r="L67" i="24"/>
  <c r="J67" i="24" s="1"/>
  <c r="L22" i="24"/>
  <c r="J22" i="24" s="1"/>
  <c r="J8" i="24" l="1"/>
  <c r="K8" i="24"/>
  <c r="L8" i="24"/>
  <c r="M8" i="24"/>
  <c r="N8" i="24"/>
  <c r="J260" i="24" l="1"/>
  <c r="L260" i="24"/>
  <c r="J235" i="24" l="1"/>
  <c r="J234" i="24"/>
  <c r="J218" i="24" l="1"/>
  <c r="L218" i="24"/>
  <c r="D14" i="1" l="1"/>
  <c r="D13" i="1"/>
  <c r="D12" i="1"/>
  <c r="D11" i="1"/>
  <c r="D10" i="1"/>
  <c r="D9" i="1"/>
  <c r="D8" i="1"/>
  <c r="I263" i="24"/>
  <c r="H238" i="24"/>
  <c r="I235" i="24"/>
  <c r="I234" i="24"/>
  <c r="I231" i="24"/>
  <c r="I230" i="24"/>
  <c r="I229" i="24"/>
  <c r="I228" i="24"/>
  <c r="I227" i="24"/>
  <c r="I226" i="24"/>
  <c r="H8" i="24"/>
  <c r="I8" i="24"/>
  <c r="I208" i="24"/>
  <c r="Q208" i="24" s="1"/>
  <c r="H208" i="24"/>
  <c r="P208" i="24" s="1"/>
  <c r="I209" i="24"/>
  <c r="Q209" i="24" s="1"/>
  <c r="H209" i="24"/>
  <c r="P209" i="24" s="1"/>
  <c r="I202" i="24"/>
  <c r="Q202" i="24" s="1"/>
  <c r="H202" i="24"/>
  <c r="I203" i="24"/>
  <c r="Q203" i="24" s="1"/>
  <c r="H203" i="24"/>
  <c r="I158" i="24"/>
  <c r="I157" i="24"/>
  <c r="I56" i="24"/>
  <c r="H56" i="24"/>
  <c r="I127" i="24"/>
  <c r="H127" i="24"/>
  <c r="H128" i="24"/>
  <c r="I128" i="24"/>
  <c r="Q129" i="24"/>
  <c r="P127" i="24"/>
  <c r="H57" i="24"/>
  <c r="P57" i="24" s="1"/>
  <c r="I57" i="24"/>
  <c r="Q57" i="24" s="1"/>
  <c r="H58" i="24"/>
  <c r="I58" i="24"/>
  <c r="H59" i="24"/>
  <c r="I59" i="24"/>
  <c r="H60" i="24"/>
  <c r="I60" i="24"/>
  <c r="H61" i="24"/>
  <c r="I61" i="24"/>
  <c r="I44" i="24"/>
  <c r="H44" i="24"/>
  <c r="I10" i="24"/>
  <c r="H10" i="24"/>
  <c r="I16" i="24"/>
  <c r="H16" i="24"/>
  <c r="I22" i="24"/>
  <c r="H22" i="24"/>
  <c r="I28" i="24"/>
  <c r="H28" i="24"/>
  <c r="I33" i="24"/>
  <c r="H33" i="24"/>
  <c r="I39" i="24"/>
  <c r="H39" i="24"/>
  <c r="H45" i="24"/>
  <c r="I24" i="24"/>
  <c r="I25" i="24"/>
  <c r="I26" i="24"/>
  <c r="I29" i="24"/>
  <c r="I30" i="24"/>
  <c r="I31" i="24"/>
  <c r="I32" i="24"/>
  <c r="I34" i="24"/>
  <c r="I35" i="24"/>
  <c r="I36" i="24"/>
  <c r="I37" i="24"/>
  <c r="I40" i="24"/>
  <c r="I41" i="24"/>
  <c r="I42" i="24"/>
  <c r="I43" i="24"/>
  <c r="H25" i="24"/>
  <c r="H26" i="24"/>
  <c r="H29" i="24"/>
  <c r="H30" i="24"/>
  <c r="H31" i="24"/>
  <c r="H32" i="24"/>
  <c r="H34" i="24"/>
  <c r="H35" i="24"/>
  <c r="H36" i="24"/>
  <c r="H37" i="24"/>
  <c r="H40" i="24"/>
  <c r="H41" i="24"/>
  <c r="H42" i="24"/>
  <c r="H43" i="24"/>
  <c r="H11" i="24"/>
  <c r="I11" i="24"/>
  <c r="H12" i="24"/>
  <c r="I12" i="24"/>
  <c r="H13" i="24"/>
  <c r="I13" i="24"/>
  <c r="H14" i="24"/>
  <c r="I14" i="24"/>
  <c r="H17" i="24"/>
  <c r="I17" i="24"/>
  <c r="H18" i="24"/>
  <c r="I18" i="24"/>
  <c r="H19" i="24"/>
  <c r="I19" i="24"/>
  <c r="H20" i="24"/>
  <c r="I20" i="24"/>
  <c r="H21" i="24"/>
  <c r="I21" i="24"/>
  <c r="H23" i="24"/>
  <c r="I23" i="24"/>
  <c r="H24" i="24"/>
  <c r="G152" i="24"/>
  <c r="G150" i="24"/>
  <c r="G147" i="24"/>
  <c r="G145" i="24"/>
  <c r="G140" i="24"/>
  <c r="G134" i="24"/>
  <c r="G129" i="24"/>
  <c r="G127" i="24"/>
  <c r="G122" i="24"/>
  <c r="G119" i="24"/>
  <c r="G117" i="24"/>
  <c r="G115" i="24"/>
  <c r="G112" i="24"/>
  <c r="G106" i="24"/>
  <c r="G103" i="24"/>
  <c r="G100" i="24"/>
  <c r="G94" i="24"/>
  <c r="G92" i="24"/>
  <c r="G86" i="24"/>
  <c r="G81" i="24"/>
  <c r="G78" i="24"/>
  <c r="G74" i="24"/>
  <c r="G70" i="24"/>
  <c r="G67" i="24"/>
  <c r="G63" i="24"/>
  <c r="G56" i="24"/>
  <c r="G49" i="24"/>
  <c r="G46" i="24"/>
  <c r="G44" i="24"/>
  <c r="G39" i="24"/>
  <c r="G33" i="24"/>
  <c r="G28" i="24"/>
  <c r="G22" i="24"/>
  <c r="G16" i="24"/>
  <c r="F152" i="24"/>
  <c r="F150" i="24"/>
  <c r="F147" i="24"/>
  <c r="F140" i="24"/>
  <c r="F134" i="24"/>
  <c r="F129" i="24"/>
  <c r="F127" i="24"/>
  <c r="F122" i="24"/>
  <c r="F115" i="24"/>
  <c r="F112" i="24"/>
  <c r="F106" i="24"/>
  <c r="F103" i="24"/>
  <c r="F100" i="24"/>
  <c r="F94" i="24"/>
  <c r="F92" i="24"/>
  <c r="F86" i="24"/>
  <c r="F81" i="24"/>
  <c r="F78" i="24"/>
  <c r="F74" i="24"/>
  <c r="F70" i="24"/>
  <c r="F67" i="24"/>
  <c r="F63" i="24"/>
  <c r="F56" i="24"/>
  <c r="F49" i="24"/>
  <c r="F46" i="24"/>
  <c r="F44" i="24"/>
  <c r="F39" i="24"/>
  <c r="F33" i="24"/>
  <c r="F28" i="24"/>
  <c r="F22" i="24"/>
  <c r="F16" i="24"/>
  <c r="F10" i="24"/>
  <c r="G289" i="24"/>
  <c r="G288" i="24"/>
  <c r="G287" i="24"/>
  <c r="P281" i="24"/>
  <c r="Q281" i="24"/>
  <c r="R281" i="24"/>
  <c r="P282" i="24"/>
  <c r="Q282" i="24"/>
  <c r="R282" i="24"/>
  <c r="N275" i="24"/>
  <c r="L275" i="24"/>
  <c r="I275" i="24"/>
  <c r="P268" i="24"/>
  <c r="Q268" i="24"/>
  <c r="R268" i="24"/>
  <c r="P269" i="24"/>
  <c r="Q269" i="24"/>
  <c r="R269" i="24"/>
  <c r="P270" i="24"/>
  <c r="Q270" i="24"/>
  <c r="R270" i="24"/>
  <c r="P271" i="24"/>
  <c r="Q271" i="24"/>
  <c r="R271" i="24"/>
  <c r="P272" i="24"/>
  <c r="Q272" i="24"/>
  <c r="R272" i="24"/>
  <c r="P273" i="24"/>
  <c r="Q273" i="24"/>
  <c r="R273" i="24"/>
  <c r="P274" i="24"/>
  <c r="Q274" i="24"/>
  <c r="R274" i="24"/>
  <c r="G274" i="24"/>
  <c r="G273" i="24"/>
  <c r="G272" i="24"/>
  <c r="G271" i="24"/>
  <c r="G270" i="24"/>
  <c r="G269" i="24"/>
  <c r="G268" i="24"/>
  <c r="G275" i="24" s="1"/>
  <c r="G267" i="24"/>
  <c r="G263" i="24"/>
  <c r="N261" i="24"/>
  <c r="L261" i="24"/>
  <c r="I261" i="24"/>
  <c r="G261" i="24"/>
  <c r="P258" i="24"/>
  <c r="Q258" i="24"/>
  <c r="R258" i="24"/>
  <c r="P259" i="24"/>
  <c r="Q259" i="24"/>
  <c r="R259" i="24"/>
  <c r="P260" i="24"/>
  <c r="Q260" i="24"/>
  <c r="R260" i="24"/>
  <c r="G253" i="24"/>
  <c r="N222" i="24"/>
  <c r="L222" i="24"/>
  <c r="I222" i="24"/>
  <c r="F231" i="24"/>
  <c r="G231" i="24" s="1"/>
  <c r="G230" i="24"/>
  <c r="G229" i="24"/>
  <c r="G228" i="24"/>
  <c r="G227" i="24"/>
  <c r="G226" i="24"/>
  <c r="I236" i="24"/>
  <c r="L236" i="24"/>
  <c r="N236" i="24"/>
  <c r="I239" i="24"/>
  <c r="L239" i="24"/>
  <c r="N239" i="24"/>
  <c r="P218" i="24"/>
  <c r="Q218" i="24"/>
  <c r="P219" i="24"/>
  <c r="Q219" i="24"/>
  <c r="P220" i="24"/>
  <c r="Q220" i="24"/>
  <c r="P221" i="24"/>
  <c r="Q221" i="24"/>
  <c r="E221" i="24"/>
  <c r="R221" i="24" s="1"/>
  <c r="E220" i="24"/>
  <c r="R220" i="24" s="1"/>
  <c r="E219" i="24"/>
  <c r="R219" i="24" s="1"/>
  <c r="E218" i="24"/>
  <c r="R218" i="24" s="1"/>
  <c r="P210" i="24"/>
  <c r="Q210" i="24"/>
  <c r="P211" i="24"/>
  <c r="Q211" i="24"/>
  <c r="P212" i="24"/>
  <c r="Q212" i="24"/>
  <c r="P213" i="24"/>
  <c r="Q213" i="24"/>
  <c r="P214" i="24"/>
  <c r="Q214" i="24"/>
  <c r="P215" i="24"/>
  <c r="Q215" i="24"/>
  <c r="P216" i="24"/>
  <c r="Q216" i="24"/>
  <c r="P217" i="24"/>
  <c r="Q217" i="24"/>
  <c r="F208" i="24"/>
  <c r="G208" i="24"/>
  <c r="E217" i="24"/>
  <c r="R217" i="24" s="1"/>
  <c r="E216" i="24"/>
  <c r="R216" i="24" s="1"/>
  <c r="E215" i="24"/>
  <c r="R215" i="24" s="1"/>
  <c r="E214" i="24"/>
  <c r="R214" i="24" s="1"/>
  <c r="E213" i="24"/>
  <c r="R213" i="24" s="1"/>
  <c r="E212" i="24"/>
  <c r="R212" i="24" s="1"/>
  <c r="E211" i="24"/>
  <c r="R211" i="24" s="1"/>
  <c r="E210" i="24"/>
  <c r="R210" i="24" s="1"/>
  <c r="E209" i="24"/>
  <c r="R209" i="24" s="1"/>
  <c r="P202" i="24"/>
  <c r="P203" i="24"/>
  <c r="P204" i="24"/>
  <c r="Q204" i="24"/>
  <c r="P205" i="24"/>
  <c r="Q205" i="24"/>
  <c r="P206" i="24"/>
  <c r="Q206" i="24"/>
  <c r="P207" i="24"/>
  <c r="Q207" i="24"/>
  <c r="F202" i="24"/>
  <c r="G202" i="24"/>
  <c r="E207" i="24"/>
  <c r="R207" i="24" s="1"/>
  <c r="E206" i="24"/>
  <c r="R206" i="24" s="1"/>
  <c r="E205" i="24"/>
  <c r="R205" i="24" s="1"/>
  <c r="E204" i="24"/>
  <c r="R204" i="24" s="1"/>
  <c r="E203" i="24"/>
  <c r="R203" i="24" s="1"/>
  <c r="Q201" i="24"/>
  <c r="P201" i="24"/>
  <c r="P193" i="24"/>
  <c r="Q193" i="24"/>
  <c r="P194" i="24"/>
  <c r="Q194" i="24"/>
  <c r="P196" i="24"/>
  <c r="Q196" i="24"/>
  <c r="P198" i="24"/>
  <c r="Q198" i="24"/>
  <c r="F199" i="24"/>
  <c r="G199" i="24"/>
  <c r="E201" i="24"/>
  <c r="R201" i="24" s="1"/>
  <c r="F191" i="24"/>
  <c r="G191" i="24"/>
  <c r="E198" i="24"/>
  <c r="R198" i="24" s="1"/>
  <c r="E196" i="24"/>
  <c r="R196" i="24" s="1"/>
  <c r="E194" i="24"/>
  <c r="R194" i="24" s="1"/>
  <c r="E193" i="24"/>
  <c r="R193" i="24" s="1"/>
  <c r="P185" i="24"/>
  <c r="Q185" i="24"/>
  <c r="P186" i="24"/>
  <c r="Q186" i="24"/>
  <c r="P187" i="24"/>
  <c r="Q187" i="24"/>
  <c r="P188" i="24"/>
  <c r="Q188" i="24"/>
  <c r="P189" i="24"/>
  <c r="Q189" i="24"/>
  <c r="P190" i="24"/>
  <c r="Q190" i="24"/>
  <c r="G184" i="24"/>
  <c r="E184" i="24" s="1"/>
  <c r="F184" i="24"/>
  <c r="E190" i="24"/>
  <c r="R190" i="24" s="1"/>
  <c r="E189" i="24"/>
  <c r="R189" i="24" s="1"/>
  <c r="E188" i="24"/>
  <c r="R188" i="24" s="1"/>
  <c r="E187" i="24"/>
  <c r="R187" i="24" s="1"/>
  <c r="E186" i="24"/>
  <c r="R186" i="24" s="1"/>
  <c r="E185" i="24"/>
  <c r="R185" i="24" s="1"/>
  <c r="P183" i="24"/>
  <c r="Q183" i="24"/>
  <c r="P181" i="24"/>
  <c r="Q181" i="24"/>
  <c r="G180" i="24"/>
  <c r="E183" i="24"/>
  <c r="R183" i="24" s="1"/>
  <c r="E182" i="24"/>
  <c r="E181" i="24"/>
  <c r="R181" i="24" s="1"/>
  <c r="P17" i="24"/>
  <c r="Q17" i="24"/>
  <c r="P41" i="24"/>
  <c r="Q41" i="24"/>
  <c r="Q46" i="24"/>
  <c r="P46" i="24"/>
  <c r="P69" i="24"/>
  <c r="Q69" i="24"/>
  <c r="P74" i="24"/>
  <c r="Q74" i="24"/>
  <c r="P81" i="24"/>
  <c r="Q81" i="24"/>
  <c r="Q93" i="24"/>
  <c r="P93" i="24"/>
  <c r="P98" i="24"/>
  <c r="Q98" i="24"/>
  <c r="P163" i="24"/>
  <c r="Q163" i="24"/>
  <c r="P164" i="24"/>
  <c r="Q164" i="24"/>
  <c r="P165" i="24"/>
  <c r="Q165" i="24"/>
  <c r="P166" i="24"/>
  <c r="Q166" i="24"/>
  <c r="P167" i="24"/>
  <c r="Q167" i="24"/>
  <c r="P168" i="24"/>
  <c r="Q168" i="24"/>
  <c r="P169" i="24"/>
  <c r="Q169" i="24"/>
  <c r="P171" i="24"/>
  <c r="Q171" i="24"/>
  <c r="P173" i="24"/>
  <c r="Q173" i="24"/>
  <c r="P174" i="24"/>
  <c r="Q174" i="24"/>
  <c r="P175" i="24"/>
  <c r="Q175" i="24"/>
  <c r="P176" i="24"/>
  <c r="Q176" i="24"/>
  <c r="P177" i="24"/>
  <c r="Q177" i="24"/>
  <c r="P179" i="24"/>
  <c r="Q179" i="24"/>
  <c r="G159" i="24"/>
  <c r="F159" i="24"/>
  <c r="E179" i="24"/>
  <c r="R179" i="24" s="1"/>
  <c r="E177" i="24"/>
  <c r="R177" i="24" s="1"/>
  <c r="E176" i="24"/>
  <c r="R176" i="24" s="1"/>
  <c r="E175" i="24"/>
  <c r="R175" i="24" s="1"/>
  <c r="E174" i="24"/>
  <c r="R174" i="24" s="1"/>
  <c r="E173" i="24"/>
  <c r="R173" i="24" s="1"/>
  <c r="E171" i="24"/>
  <c r="R171" i="24" s="1"/>
  <c r="E169" i="24"/>
  <c r="R169" i="24" s="1"/>
  <c r="E168" i="24"/>
  <c r="R168" i="24" s="1"/>
  <c r="E167" i="24"/>
  <c r="R167" i="24" s="1"/>
  <c r="E166" i="24"/>
  <c r="R166" i="24" s="1"/>
  <c r="E165" i="24"/>
  <c r="R165" i="24" s="1"/>
  <c r="E164" i="24"/>
  <c r="R164" i="24" s="1"/>
  <c r="E163" i="24"/>
  <c r="R163" i="24" s="1"/>
  <c r="E161" i="24"/>
  <c r="P117" i="24"/>
  <c r="Q117" i="24"/>
  <c r="P118" i="24"/>
  <c r="Q118" i="24"/>
  <c r="P119" i="24"/>
  <c r="Q119" i="24"/>
  <c r="P120" i="24"/>
  <c r="Q120" i="24"/>
  <c r="P122" i="24"/>
  <c r="Q122" i="24"/>
  <c r="P123" i="24"/>
  <c r="Q123" i="24"/>
  <c r="P124" i="24"/>
  <c r="Q124" i="24"/>
  <c r="P125" i="24"/>
  <c r="Q125" i="24"/>
  <c r="P126" i="24"/>
  <c r="Q126" i="24"/>
  <c r="Q127" i="24"/>
  <c r="P128" i="24"/>
  <c r="Q128" i="24"/>
  <c r="P129" i="24"/>
  <c r="P130" i="24"/>
  <c r="Q130" i="24"/>
  <c r="P131" i="24"/>
  <c r="Q131" i="24"/>
  <c r="P132" i="24"/>
  <c r="Q132" i="24"/>
  <c r="P133" i="24"/>
  <c r="Q133" i="24"/>
  <c r="P134" i="24"/>
  <c r="Q134" i="24"/>
  <c r="P135" i="24"/>
  <c r="Q135" i="24"/>
  <c r="P136" i="24"/>
  <c r="Q136" i="24"/>
  <c r="P137" i="24"/>
  <c r="Q137" i="24"/>
  <c r="P138" i="24"/>
  <c r="Q138" i="24"/>
  <c r="P140" i="24"/>
  <c r="Q140" i="24"/>
  <c r="P141" i="24"/>
  <c r="Q141" i="24"/>
  <c r="P142" i="24"/>
  <c r="Q142" i="24"/>
  <c r="P143" i="24"/>
  <c r="Q143" i="24"/>
  <c r="P145" i="24"/>
  <c r="Q145" i="24"/>
  <c r="P146" i="24"/>
  <c r="Q146" i="24"/>
  <c r="P147" i="24"/>
  <c r="Q147" i="24"/>
  <c r="P148" i="24"/>
  <c r="Q148" i="24"/>
  <c r="P149" i="24"/>
  <c r="Q149" i="24"/>
  <c r="P150" i="24"/>
  <c r="Q150" i="24"/>
  <c r="P151" i="24"/>
  <c r="Q151" i="24"/>
  <c r="P152" i="24"/>
  <c r="Q152" i="24"/>
  <c r="P153" i="24"/>
  <c r="Q153" i="24"/>
  <c r="P154" i="24"/>
  <c r="Q154" i="24"/>
  <c r="P155" i="24"/>
  <c r="Q155" i="24"/>
  <c r="P156" i="24"/>
  <c r="Q156" i="24"/>
  <c r="E191" i="24" l="1"/>
  <c r="E208" i="24"/>
  <c r="R208" i="24" s="1"/>
  <c r="E202" i="24"/>
  <c r="R202" i="24" s="1"/>
  <c r="E156" i="24" l="1"/>
  <c r="R156" i="24" s="1"/>
  <c r="E155" i="24"/>
  <c r="R155" i="24" s="1"/>
  <c r="E154" i="24"/>
  <c r="R154" i="24" s="1"/>
  <c r="E153" i="24"/>
  <c r="R153" i="24" s="1"/>
  <c r="E152" i="24"/>
  <c r="R152" i="24" s="1"/>
  <c r="E151" i="24"/>
  <c r="R151" i="24" s="1"/>
  <c r="E150" i="24"/>
  <c r="R150" i="24" s="1"/>
  <c r="E149" i="24"/>
  <c r="R149" i="24" s="1"/>
  <c r="E148" i="24"/>
  <c r="R148" i="24" s="1"/>
  <c r="E147" i="24"/>
  <c r="R147" i="24" s="1"/>
  <c r="E143" i="24"/>
  <c r="R143" i="24" s="1"/>
  <c r="E142" i="24"/>
  <c r="R142" i="24" s="1"/>
  <c r="E141" i="24"/>
  <c r="R141" i="24" s="1"/>
  <c r="E140" i="24"/>
  <c r="R140" i="24" s="1"/>
  <c r="E138" i="24"/>
  <c r="R138" i="24" s="1"/>
  <c r="E137" i="24"/>
  <c r="R137" i="24" s="1"/>
  <c r="E136" i="24"/>
  <c r="R136" i="24" s="1"/>
  <c r="E135" i="24"/>
  <c r="R135" i="24" s="1"/>
  <c r="E134" i="24"/>
  <c r="R134" i="24" s="1"/>
  <c r="E133" i="24"/>
  <c r="R133" i="24" s="1"/>
  <c r="E132" i="24"/>
  <c r="R132" i="24" s="1"/>
  <c r="E131" i="24"/>
  <c r="R131" i="24" s="1"/>
  <c r="E130" i="24"/>
  <c r="R130" i="24" s="1"/>
  <c r="E129" i="24"/>
  <c r="R129" i="24" s="1"/>
  <c r="E128" i="24"/>
  <c r="R128" i="24" s="1"/>
  <c r="E127" i="24"/>
  <c r="R127" i="24" s="1"/>
  <c r="E126" i="24"/>
  <c r="R126" i="24" s="1"/>
  <c r="E125" i="24"/>
  <c r="R125" i="24" s="1"/>
  <c r="E124" i="24"/>
  <c r="R124" i="24" s="1"/>
  <c r="E123" i="24"/>
  <c r="R123" i="24" s="1"/>
  <c r="E122" i="24"/>
  <c r="R122" i="24" s="1"/>
  <c r="E116" i="24"/>
  <c r="E115" i="24"/>
  <c r="E113" i="24"/>
  <c r="E112" i="24"/>
  <c r="E110" i="24"/>
  <c r="E109" i="24"/>
  <c r="E108" i="24"/>
  <c r="E107" i="24"/>
  <c r="E106" i="24"/>
  <c r="E105" i="24"/>
  <c r="E104" i="24"/>
  <c r="E103" i="24"/>
  <c r="E102" i="24"/>
  <c r="E101" i="24"/>
  <c r="E100" i="24"/>
  <c r="E98" i="24"/>
  <c r="R98" i="24" s="1"/>
  <c r="E97" i="24"/>
  <c r="E96" i="24"/>
  <c r="E95" i="24"/>
  <c r="E94" i="24"/>
  <c r="E93" i="24"/>
  <c r="R93" i="24" s="1"/>
  <c r="E92" i="24"/>
  <c r="E91" i="24"/>
  <c r="E90" i="24"/>
  <c r="E89" i="24"/>
  <c r="E88" i="24"/>
  <c r="E87" i="24"/>
  <c r="E86" i="24"/>
  <c r="E84" i="24"/>
  <c r="E83" i="24"/>
  <c r="E82" i="24"/>
  <c r="E81" i="24"/>
  <c r="R81" i="24" s="1"/>
  <c r="E80" i="24"/>
  <c r="E79" i="24"/>
  <c r="E78" i="24"/>
  <c r="E77" i="24"/>
  <c r="E76" i="24"/>
  <c r="E75" i="24"/>
  <c r="E74" i="24"/>
  <c r="R74" i="24" s="1"/>
  <c r="E72" i="24"/>
  <c r="E71" i="24"/>
  <c r="E70" i="24"/>
  <c r="E69" i="24"/>
  <c r="R69" i="24" s="1"/>
  <c r="E68" i="24"/>
  <c r="E67" i="24"/>
  <c r="E65" i="24"/>
  <c r="E64" i="24"/>
  <c r="E63" i="24"/>
  <c r="E61" i="24"/>
  <c r="E60" i="24"/>
  <c r="E59" i="24"/>
  <c r="E58" i="24"/>
  <c r="E57" i="24"/>
  <c r="R57" i="24" s="1"/>
  <c r="E56" i="24"/>
  <c r="E54" i="24"/>
  <c r="E53" i="24"/>
  <c r="E52" i="24"/>
  <c r="E51" i="24"/>
  <c r="E50" i="24"/>
  <c r="E49" i="24"/>
  <c r="E47" i="24"/>
  <c r="E46" i="24"/>
  <c r="R46" i="24" s="1"/>
  <c r="E45" i="24"/>
  <c r="E44" i="24"/>
  <c r="E43" i="24"/>
  <c r="E42" i="24"/>
  <c r="E41" i="24"/>
  <c r="R41" i="24" s="1"/>
  <c r="E40" i="24"/>
  <c r="E39" i="24"/>
  <c r="E37" i="24"/>
  <c r="E36" i="24"/>
  <c r="E35" i="24"/>
  <c r="E34" i="24"/>
  <c r="E33" i="24"/>
  <c r="E32" i="24"/>
  <c r="E31" i="24"/>
  <c r="E30" i="24"/>
  <c r="E29" i="24"/>
  <c r="E28" i="24"/>
  <c r="E26" i="24"/>
  <c r="E25" i="24"/>
  <c r="E24" i="24"/>
  <c r="E23" i="24"/>
  <c r="E22" i="24"/>
  <c r="E21" i="24"/>
  <c r="E20" i="24"/>
  <c r="E19" i="24"/>
  <c r="E18" i="24"/>
  <c r="E17" i="24"/>
  <c r="R17" i="24" s="1"/>
  <c r="E16" i="24"/>
  <c r="E14" i="24"/>
  <c r="E13" i="24"/>
  <c r="E12" i="24"/>
  <c r="N285" i="24" l="1"/>
  <c r="L285" i="24" l="1"/>
  <c r="Q284" i="24"/>
  <c r="P283" i="24"/>
  <c r="P284" i="24"/>
  <c r="Q283" i="24" l="1"/>
  <c r="E159" i="24" l="1"/>
  <c r="F180" i="24"/>
  <c r="E199" i="24"/>
  <c r="E180" i="24" l="1"/>
  <c r="P113" i="24"/>
  <c r="P115" i="24"/>
  <c r="P116" i="24"/>
  <c r="P101" i="24" l="1"/>
  <c r="R88" i="24"/>
  <c r="P88" i="24"/>
  <c r="P84" i="24"/>
  <c r="R79" i="24"/>
  <c r="R77" i="24"/>
  <c r="P75" i="24"/>
  <c r="R70" i="24"/>
  <c r="P42" i="24"/>
  <c r="P28" i="24"/>
  <c r="P18" i="24"/>
  <c r="R16" i="24"/>
  <c r="P12" i="24"/>
  <c r="R30" i="24"/>
  <c r="R31" i="24"/>
  <c r="R32" i="24"/>
  <c r="R33" i="24"/>
  <c r="R36" i="24"/>
  <c r="R37" i="24"/>
  <c r="R44" i="24"/>
  <c r="R45" i="24"/>
  <c r="R51" i="24"/>
  <c r="R60" i="24"/>
  <c r="R61" i="24"/>
  <c r="R64" i="24"/>
  <c r="R65" i="24"/>
  <c r="R68" i="24"/>
  <c r="R71" i="24"/>
  <c r="R72" i="24"/>
  <c r="R78" i="24"/>
  <c r="R80" i="24"/>
  <c r="R87" i="24"/>
  <c r="R89" i="24"/>
  <c r="R113" i="24"/>
  <c r="R115" i="24"/>
  <c r="R116" i="24"/>
  <c r="P11" i="24"/>
  <c r="P13" i="24"/>
  <c r="P14" i="24"/>
  <c r="R14" i="24"/>
  <c r="P16" i="24"/>
  <c r="P19" i="24"/>
  <c r="P20" i="24"/>
  <c r="P21" i="24"/>
  <c r="P22" i="24"/>
  <c r="P24" i="24"/>
  <c r="R24" i="24"/>
  <c r="P25" i="24"/>
  <c r="P26" i="24"/>
  <c r="P29" i="24"/>
  <c r="P30" i="24"/>
  <c r="P31" i="24"/>
  <c r="P32" i="24"/>
  <c r="P33" i="24"/>
  <c r="P34" i="24"/>
  <c r="P35" i="24"/>
  <c r="P36" i="24"/>
  <c r="P37" i="24"/>
  <c r="P43" i="24"/>
  <c r="P44" i="24"/>
  <c r="P45" i="24"/>
  <c r="P49" i="24"/>
  <c r="P50" i="24"/>
  <c r="R50" i="24"/>
  <c r="P51" i="24"/>
  <c r="P53" i="24"/>
  <c r="P54" i="24"/>
  <c r="R54" i="24"/>
  <c r="P56" i="24"/>
  <c r="P59" i="24"/>
  <c r="P60" i="24"/>
  <c r="P61" i="24"/>
  <c r="P63" i="24"/>
  <c r="P64" i="24"/>
  <c r="P65" i="24"/>
  <c r="P68" i="24"/>
  <c r="P70" i="24"/>
  <c r="P71" i="24"/>
  <c r="P72" i="24"/>
  <c r="P76" i="24"/>
  <c r="P77" i="24"/>
  <c r="P78" i="24"/>
  <c r="P79" i="24"/>
  <c r="P80" i="24"/>
  <c r="P83" i="24"/>
  <c r="P86" i="24"/>
  <c r="R86" i="24"/>
  <c r="P87" i="24"/>
  <c r="P89" i="24"/>
  <c r="P90" i="24"/>
  <c r="P91" i="24"/>
  <c r="P92" i="24"/>
  <c r="P94" i="24"/>
  <c r="P95" i="24"/>
  <c r="P96" i="24"/>
  <c r="P97" i="24"/>
  <c r="P100" i="24"/>
  <c r="P102" i="24"/>
  <c r="P103" i="24"/>
  <c r="P104" i="24"/>
  <c r="P105" i="24"/>
  <c r="P106" i="24"/>
  <c r="P107" i="24"/>
  <c r="P108" i="24"/>
  <c r="P109" i="24"/>
  <c r="P110" i="24"/>
  <c r="P23" i="24" l="1"/>
  <c r="R19" i="24"/>
  <c r="R90" i="24"/>
  <c r="R25" i="24"/>
  <c r="R96" i="24"/>
  <c r="R95" i="24"/>
  <c r="R20" i="24"/>
  <c r="R109" i="24"/>
  <c r="R103" i="24"/>
  <c r="R105" i="24"/>
  <c r="R104" i="24"/>
  <c r="R67" i="24"/>
  <c r="P52" i="24"/>
  <c r="R56" i="24"/>
  <c r="R23" i="24"/>
  <c r="R110" i="24"/>
  <c r="R83" i="24"/>
  <c r="R101" i="24"/>
  <c r="R102" i="24"/>
  <c r="R49" i="24"/>
  <c r="R108" i="24"/>
  <c r="R94" i="24"/>
  <c r="R97" i="24"/>
  <c r="R84" i="24"/>
  <c r="R82" i="24"/>
  <c r="P82" i="24"/>
  <c r="P58" i="24"/>
  <c r="R53" i="24"/>
  <c r="R52" i="24"/>
  <c r="R47" i="24"/>
  <c r="P47" i="24"/>
  <c r="R26" i="24"/>
  <c r="R22" i="24"/>
  <c r="R21" i="24"/>
  <c r="R18" i="24" l="1"/>
  <c r="P289" i="24" l="1"/>
  <c r="P288" i="24"/>
  <c r="P287" i="24"/>
  <c r="P280" i="24"/>
  <c r="P279" i="24"/>
  <c r="P278" i="24"/>
  <c r="P267" i="24"/>
  <c r="P263" i="24"/>
  <c r="P257" i="24"/>
  <c r="P253" i="24"/>
  <c r="P254" i="24"/>
  <c r="P252" i="24"/>
  <c r="P248" i="24"/>
  <c r="P247" i="24"/>
  <c r="P243" i="24"/>
  <c r="P242" i="24"/>
  <c r="P238" i="24"/>
  <c r="P235" i="24"/>
  <c r="P234" i="24"/>
  <c r="P231" i="24"/>
  <c r="P227" i="24"/>
  <c r="P228" i="24"/>
  <c r="P229" i="24"/>
  <c r="P230" i="24"/>
  <c r="P226" i="24"/>
  <c r="P180" i="24" l="1"/>
  <c r="P161" i="24"/>
  <c r="P182" i="24"/>
  <c r="P184" i="24"/>
  <c r="P191" i="24"/>
  <c r="P199" i="24"/>
  <c r="P10" i="24"/>
  <c r="P112" i="24"/>
  <c r="P158" i="24"/>
  <c r="P157" i="24"/>
  <c r="P159" i="24" l="1"/>
  <c r="R289" i="24" l="1"/>
  <c r="Q289" i="24"/>
  <c r="R288" i="24"/>
  <c r="Q288" i="24"/>
  <c r="R284" i="24"/>
  <c r="R283" i="24"/>
  <c r="R280" i="24"/>
  <c r="Q280" i="24"/>
  <c r="R279" i="24"/>
  <c r="Q279" i="24"/>
  <c r="R278" i="24"/>
  <c r="Q278" i="24"/>
  <c r="R263" i="24"/>
  <c r="Q263" i="24"/>
  <c r="R254" i="24"/>
  <c r="Q254" i="24"/>
  <c r="Q253" i="24"/>
  <c r="R248" i="24"/>
  <c r="Q248" i="24"/>
  <c r="R247" i="24"/>
  <c r="Q247" i="24"/>
  <c r="Q243" i="24"/>
  <c r="R243" i="24"/>
  <c r="R242" i="24"/>
  <c r="Q242" i="24"/>
  <c r="R238" i="24"/>
  <c r="Q235" i="24"/>
  <c r="R235" i="24"/>
  <c r="R234" i="24"/>
  <c r="Q234" i="24"/>
  <c r="Q231" i="24"/>
  <c r="R231" i="24"/>
  <c r="Q227" i="24"/>
  <c r="R227" i="24"/>
  <c r="Q228" i="24"/>
  <c r="R228" i="24"/>
  <c r="Q229" i="24"/>
  <c r="R229" i="24"/>
  <c r="Q230" i="24"/>
  <c r="R230" i="24"/>
  <c r="Q226" i="24"/>
  <c r="R112" i="24"/>
  <c r="R157" i="24"/>
  <c r="R158" i="24"/>
  <c r="R159" i="24"/>
  <c r="R161" i="24"/>
  <c r="R180" i="24"/>
  <c r="R182" i="24"/>
  <c r="R184" i="24"/>
  <c r="R191" i="24"/>
  <c r="R199" i="24"/>
  <c r="I249" i="24" l="1"/>
  <c r="L249" i="24"/>
  <c r="N249" i="24"/>
  <c r="Q249" i="24"/>
  <c r="G249" i="24"/>
  <c r="Q244" i="24"/>
  <c r="N244" i="24"/>
  <c r="L244" i="24"/>
  <c r="I244" i="24"/>
  <c r="G244" i="24"/>
  <c r="G239" i="24"/>
  <c r="Q238" i="24" l="1"/>
  <c r="Q239" i="24" s="1"/>
  <c r="C12" i="1"/>
  <c r="F12" i="1" l="1"/>
  <c r="I255" i="24"/>
  <c r="I290" i="24"/>
  <c r="I285" i="24"/>
  <c r="I264" i="24"/>
  <c r="I265" i="24" l="1"/>
  <c r="F10" i="1" l="1"/>
  <c r="E10" i="1"/>
  <c r="G10" i="1" s="1"/>
  <c r="C10" i="1"/>
  <c r="F13" i="1" l="1"/>
  <c r="E13" i="1"/>
  <c r="G13" i="1" s="1"/>
  <c r="F8" i="1" l="1"/>
  <c r="E8" i="1"/>
  <c r="Q285" i="24" l="1"/>
  <c r="N264" i="24"/>
  <c r="L264" i="24"/>
  <c r="Q264" i="24"/>
  <c r="Q236" i="24" l="1"/>
  <c r="N255" i="24" l="1"/>
  <c r="N265" i="24" s="1"/>
  <c r="L232" i="24"/>
  <c r="N232" i="24"/>
  <c r="L245" i="24" l="1"/>
  <c r="E9" i="1" s="1"/>
  <c r="F11" i="1"/>
  <c r="N290" i="24" l="1"/>
  <c r="F14" i="1" s="1"/>
  <c r="N245" i="24" l="1"/>
  <c r="F9" i="1" s="1"/>
  <c r="G290" i="24"/>
  <c r="C14" i="1" s="1"/>
  <c r="G264" i="24"/>
  <c r="G236" i="24"/>
  <c r="N291" i="24" l="1"/>
  <c r="F15" i="1"/>
  <c r="H10" i="1" l="1"/>
  <c r="H13" i="1" l="1"/>
  <c r="I232" i="24" l="1"/>
  <c r="I245" i="24" s="1"/>
  <c r="Q232" i="24"/>
  <c r="Q245" i="24" s="1"/>
  <c r="G9" i="1" l="1"/>
  <c r="H9" i="1" l="1"/>
  <c r="G285" i="24"/>
  <c r="C13" i="1" s="1"/>
  <c r="R13" i="24" l="1"/>
  <c r="R12" i="24" l="1"/>
  <c r="R28" i="24"/>
  <c r="R29" i="24"/>
  <c r="R35" i="24" l="1"/>
  <c r="R34" i="24"/>
  <c r="P39" i="24" l="1"/>
  <c r="P40" i="24"/>
  <c r="R39" i="24"/>
  <c r="R40" i="24" l="1"/>
  <c r="R43" i="24"/>
  <c r="R42" i="24"/>
  <c r="R59" i="24"/>
  <c r="R58" i="24"/>
  <c r="R63" i="24"/>
  <c r="P67" i="24" l="1"/>
  <c r="P8" i="24"/>
  <c r="R76" i="24"/>
  <c r="R75" i="24"/>
  <c r="R92" i="24"/>
  <c r="R91" i="24"/>
  <c r="R100" i="24"/>
  <c r="R107" i="24"/>
  <c r="R106" i="24"/>
  <c r="R226" i="24" l="1"/>
  <c r="G232" i="24"/>
  <c r="G245" i="24" s="1"/>
  <c r="C9" i="1" l="1"/>
  <c r="R253" i="24"/>
  <c r="G255" i="24"/>
  <c r="G265" i="24" s="1"/>
  <c r="Q13" i="24"/>
  <c r="Q23" i="24"/>
  <c r="Q33" i="24"/>
  <c r="Q43" i="24"/>
  <c r="Q51" i="24"/>
  <c r="Q65" i="24"/>
  <c r="Q86" i="24"/>
  <c r="Q102" i="24"/>
  <c r="Q158" i="24"/>
  <c r="Q14" i="24"/>
  <c r="Q30" i="24"/>
  <c r="Q50" i="24"/>
  <c r="Q68" i="24"/>
  <c r="Q84" i="24"/>
  <c r="Q100" i="24"/>
  <c r="Q116" i="24"/>
  <c r="Q191" i="24"/>
  <c r="Q61" i="24"/>
  <c r="Q109" i="24"/>
  <c r="Q20" i="24"/>
  <c r="Q36" i="24"/>
  <c r="Q52" i="24"/>
  <c r="Q67" i="24"/>
  <c r="Q83" i="24"/>
  <c r="Q115" i="24"/>
  <c r="Q180" i="24"/>
  <c r="Q110" i="24"/>
  <c r="Q106" i="24"/>
  <c r="Q94" i="24"/>
  <c r="Q90" i="24"/>
  <c r="Q82" i="24"/>
  <c r="Q78" i="24"/>
  <c r="Q70" i="24"/>
  <c r="Q58" i="24"/>
  <c r="Q54" i="24"/>
  <c r="Q42" i="24"/>
  <c r="Q34" i="24"/>
  <c r="Q26" i="24"/>
  <c r="Q22" i="24"/>
  <c r="Q18" i="24"/>
  <c r="Q29" i="24"/>
  <c r="Q21" i="24"/>
  <c r="Q19" i="24"/>
  <c r="Q37" i="24"/>
  <c r="Q76" i="24"/>
  <c r="Q108" i="24"/>
  <c r="Q92" i="24"/>
  <c r="Q25" i="24"/>
  <c r="Q35" i="24"/>
  <c r="Q45" i="24"/>
  <c r="Q53" i="24"/>
  <c r="Q89" i="24"/>
  <c r="Q105" i="24"/>
  <c r="Q161" i="24"/>
  <c r="Q71" i="24"/>
  <c r="Q87" i="24"/>
  <c r="Q103" i="24"/>
  <c r="Q159" i="24"/>
  <c r="Q24" i="24"/>
  <c r="Q40" i="24"/>
  <c r="Q56" i="24"/>
  <c r="Q72" i="24"/>
  <c r="Q88" i="24"/>
  <c r="Q104" i="24"/>
  <c r="Q199" i="24"/>
  <c r="Q157" i="24"/>
  <c r="Q113" i="24"/>
  <c r="Q101" i="24"/>
  <c r="Q97" i="24"/>
  <c r="Q77" i="24"/>
  <c r="Q49" i="24"/>
  <c r="Q47" i="24"/>
  <c r="Q60" i="24"/>
  <c r="Q182" i="24"/>
  <c r="Q12" i="24"/>
  <c r="Q28" i="24"/>
  <c r="Q44" i="24"/>
  <c r="Q59" i="24"/>
  <c r="Q75" i="24"/>
  <c r="Q91" i="24"/>
  <c r="Q107" i="24"/>
  <c r="Q184" i="24"/>
  <c r="Q112" i="24"/>
  <c r="Q96" i="24"/>
  <c r="Q11" i="24"/>
  <c r="Q10" i="24"/>
  <c r="Q63" i="24"/>
  <c r="Q64" i="24"/>
  <c r="Q79" i="24"/>
  <c r="Q39" i="24"/>
  <c r="Q31" i="24"/>
  <c r="Q16" i="24"/>
  <c r="Q80" i="24"/>
  <c r="Q32" i="24"/>
  <c r="Q95" i="24"/>
  <c r="C11" i="1" l="1"/>
  <c r="Q8" i="24" l="1"/>
  <c r="Q222" i="24" s="1"/>
  <c r="I291" i="24" l="1"/>
  <c r="G8" i="1" l="1"/>
  <c r="D15" i="1"/>
  <c r="H8" i="1"/>
  <c r="R267" i="24"/>
  <c r="Q267" i="24"/>
  <c r="Q275" i="24" s="1"/>
  <c r="E12" i="1" l="1"/>
  <c r="G12" i="1" s="1"/>
  <c r="R257" i="24"/>
  <c r="H12" i="1" l="1"/>
  <c r="Q257" i="24"/>
  <c r="R252" i="24"/>
  <c r="Q252" i="24"/>
  <c r="Q255" i="24" s="1"/>
  <c r="L255" i="24"/>
  <c r="L265" i="24" s="1"/>
  <c r="Q265" i="24" l="1"/>
  <c r="E11" i="1"/>
  <c r="G11" i="1" l="1"/>
  <c r="H11" i="1"/>
  <c r="R287" i="24"/>
  <c r="Q287" i="24"/>
  <c r="L290" i="24"/>
  <c r="L291" i="24" s="1"/>
  <c r="Q291" i="24" s="1"/>
  <c r="Q290" i="24" l="1"/>
  <c r="E14" i="1"/>
  <c r="H14" i="1" l="1"/>
  <c r="H15" i="1" s="1"/>
  <c r="E15" i="1"/>
  <c r="G15" i="1" s="1"/>
  <c r="G14" i="1"/>
  <c r="F117" i="24"/>
  <c r="E117" i="24" s="1"/>
  <c r="R117" i="24" s="1"/>
  <c r="E118" i="24"/>
  <c r="R118" i="24" s="1"/>
  <c r="F119" i="24"/>
  <c r="E119" i="24" s="1"/>
  <c r="R119" i="24" s="1"/>
  <c r="E120" i="24"/>
  <c r="R120" i="24" s="1"/>
  <c r="E146" i="24"/>
  <c r="R146" i="24" s="1"/>
  <c r="F8" i="24"/>
  <c r="F145" i="24"/>
  <c r="E145" i="24"/>
  <c r="R145" i="24" s="1"/>
  <c r="E10" i="24"/>
  <c r="R10" i="24" s="1"/>
  <c r="G10" i="24"/>
  <c r="G8" i="24" s="1"/>
  <c r="E11" i="24"/>
  <c r="R11" i="24" s="1"/>
  <c r="E8" i="24" l="1"/>
  <c r="R8" i="24" s="1"/>
  <c r="G222" i="24"/>
  <c r="G291" i="24" l="1"/>
  <c r="C8" i="1"/>
  <c r="C15" i="1" s="1"/>
</calcChain>
</file>

<file path=xl/comments1.xml><?xml version="1.0" encoding="utf-8"?>
<comments xmlns="http://schemas.openxmlformats.org/spreadsheetml/2006/main">
  <authors>
    <author>Oksana Lysak</author>
  </authors>
  <commentList>
    <comment ref="F289" authorId="0" shapeId="0">
      <text>
        <r>
          <rPr>
            <b/>
            <sz val="9"/>
            <color indexed="81"/>
            <rFont val="Tahoma"/>
            <family val="2"/>
            <charset val="204"/>
          </rPr>
          <t>Oksana Lysak:</t>
        </r>
        <r>
          <rPr>
            <sz val="9"/>
            <color indexed="81"/>
            <rFont val="Tahoma"/>
            <family val="2"/>
            <charset val="204"/>
          </rPr>
          <t xml:space="preserve">
Для бригад Служби ліній</t>
        </r>
      </text>
    </comment>
    <comment ref="H289" authorId="0" shapeId="0">
      <text>
        <r>
          <rPr>
            <b/>
            <sz val="9"/>
            <color indexed="81"/>
            <rFont val="Tahoma"/>
            <family val="2"/>
            <charset val="204"/>
          </rPr>
          <t>Oksana Lysak:</t>
        </r>
        <r>
          <rPr>
            <sz val="9"/>
            <color indexed="81"/>
            <rFont val="Tahoma"/>
            <family val="2"/>
            <charset val="204"/>
          </rPr>
          <t xml:space="preserve">
Для бригад Служби ліній</t>
        </r>
      </text>
    </comment>
  </commentList>
</comments>
</file>

<file path=xl/sharedStrings.xml><?xml version="1.0" encoding="utf-8"?>
<sst xmlns="http://schemas.openxmlformats.org/spreadsheetml/2006/main" count="927" uniqueCount="391">
  <si>
    <t>№ з/п</t>
  </si>
  <si>
    <t>Впровадження та розвиток інформаційних технологій</t>
  </si>
  <si>
    <t>Інше</t>
  </si>
  <si>
    <t>Виконавець робіт, послуг, продавець товару, визначено на тендері чи без</t>
  </si>
  <si>
    <t>Одиниця виміру</t>
  </si>
  <si>
    <t>Будівництво, модернізація та реконструкція електричних мереж та обладнання</t>
  </si>
  <si>
    <t>Усього</t>
  </si>
  <si>
    <t>Різниця між фактичною вартістю одиниці продукції та плановою, %</t>
  </si>
  <si>
    <t>з</t>
  </si>
  <si>
    <t>Залишилось не профінансовано</t>
  </si>
  <si>
    <t>Відсоток фінансування</t>
  </si>
  <si>
    <t>до</t>
  </si>
  <si>
    <t>Заходи зі зниження нетехнічних витрат електричної енергії</t>
  </si>
  <si>
    <t>Впровадження та розвиток систем зв'язку</t>
  </si>
  <si>
    <t>Звіт щодо виконання інвестиційної програми</t>
  </si>
  <si>
    <t>Звітний період</t>
  </si>
  <si>
    <t>Прогнозний період</t>
  </si>
  <si>
    <t>Найменування ліцензіата</t>
  </si>
  <si>
    <t>(прізвище, ім'я, по батькові)</t>
  </si>
  <si>
    <t>Цільові програми</t>
  </si>
  <si>
    <t>Модернізація та закупівля колісної техніки</t>
  </si>
  <si>
    <t>профінансовано</t>
  </si>
  <si>
    <t>освоєно</t>
  </si>
  <si>
    <t>джерело фінансування</t>
  </si>
  <si>
    <t>Найменування заходів інвестиційної програми</t>
  </si>
  <si>
    <t>1. Будівництво, модернізація та реконструкція електричних мереж та обладнання</t>
  </si>
  <si>
    <t>Усього по розділу 1:</t>
  </si>
  <si>
    <t>Усього по розділу 2:</t>
  </si>
  <si>
    <t>2. Заходи зі зниження нетехнічних витрат електричної енергії</t>
  </si>
  <si>
    <t>3. Впровадження та розвиток АСДТК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</si>
  <si>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</si>
  <si>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</si>
  <si>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</si>
  <si>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</si>
  <si>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</si>
  <si>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6. Модернізація та закупівля колісної техніки</t>
  </si>
  <si>
    <t>Усього по розділу 6:</t>
  </si>
  <si>
    <t>7. Інше</t>
  </si>
  <si>
    <t>Усього по розділу 7:</t>
  </si>
  <si>
    <t>Реквізити документа, який засвідчує прийняття в експлуатацію закінченого будівництвом об'єкта або очікувана дата прийняття в експлуатацію перехідних об'єктів</t>
  </si>
  <si>
    <t>Впровадження та розвиток автоматизованих систем диспетчерсько-технологічного керування (АСДТК)</t>
  </si>
  <si>
    <t>км</t>
  </si>
  <si>
    <t>шт</t>
  </si>
  <si>
    <t xml:space="preserve">Витрати на виніс 1-фазних лічильників власними силами на фасад будинків </t>
  </si>
  <si>
    <t>Закупівля нових робочих станцій</t>
  </si>
  <si>
    <t>Закупівля програмного забезпечення, у т.ч.:</t>
  </si>
  <si>
    <t>Реконструкція/технічне переоснащення ПЛ-0,4 кВ самоутримним ізольованим проводом</t>
  </si>
  <si>
    <t xml:space="preserve">Витрати на виніс 3-фазних лічильників власними силами на фасад будинків </t>
  </si>
  <si>
    <t>Ліцензування програмного забезпечення Microsoft</t>
  </si>
  <si>
    <t>Залишилось не профінансовано,
тис. грн (без ПДВ)</t>
  </si>
  <si>
    <t>Керівник ліцензіата                                         ___________________</t>
  </si>
  <si>
    <t>(або особа, яка виконує його обов'язки)                       (підпис)</t>
  </si>
  <si>
    <t xml:space="preserve">  М. П. </t>
  </si>
  <si>
    <t>Закупівля нового мережевого обладнання</t>
  </si>
  <si>
    <t>Виконано</t>
  </si>
  <si>
    <t>Причини невико-нання плану</t>
  </si>
  <si>
    <t>кількість</t>
  </si>
  <si>
    <t>вартість, тис. грн</t>
  </si>
  <si>
    <t xml:space="preserve"> кількість</t>
  </si>
  <si>
    <t>Всього:</t>
  </si>
  <si>
    <t>Заміна приладів обліку власними силами</t>
  </si>
  <si>
    <t>Спецмеханізми</t>
  </si>
  <si>
    <t>Усього по програмі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</si>
  <si>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</si>
  <si>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населенню:</t>
  </si>
  <si>
    <t>2.1.1</t>
  </si>
  <si>
    <t>2.1.2</t>
  </si>
  <si>
    <t>2.1.3</t>
  </si>
  <si>
    <t>2.1.4</t>
  </si>
  <si>
    <t>2.1.5</t>
  </si>
  <si>
    <t>3-ф прилад обліку для зведення балансу</t>
  </si>
  <si>
    <t>2.1.6</t>
  </si>
  <si>
    <t>ПрАТ "Рівнеобленерго"</t>
  </si>
  <si>
    <t>Заміна однофазних відгалужень до житлових будинків на ізольовані</t>
  </si>
  <si>
    <t>Заміна трифазних відгалужень до житлових будинків на ізольовані</t>
  </si>
  <si>
    <t>питома вартість,
тис. грн
без ПДВ</t>
  </si>
  <si>
    <t>загальна вартість, тис. грн</t>
  </si>
  <si>
    <t>Реактивна е/е</t>
  </si>
  <si>
    <t>Реконструкція/будівництво КЛ-6-10кВ:</t>
  </si>
  <si>
    <t xml:space="preserve">1-ф багатотарифний лічильник з модулем дистанційного зчитування (типу -СМАРТ) </t>
  </si>
  <si>
    <t xml:space="preserve">3-ф багатотарифний лічильник з модулем дистанційного зчитування (типу -СМАРТ) </t>
  </si>
  <si>
    <t>маршрутизатор для однотрансформаторної підстанції</t>
  </si>
  <si>
    <t>маршрутизатор для двотрансформаторної підстанції</t>
  </si>
  <si>
    <t xml:space="preserve">трансформатори струму </t>
  </si>
  <si>
    <t>4.1</t>
  </si>
  <si>
    <t>4.2</t>
  </si>
  <si>
    <t>4.3</t>
  </si>
  <si>
    <t>4.4</t>
  </si>
  <si>
    <t>шт.</t>
  </si>
  <si>
    <t>Березнівський РЕМ</t>
  </si>
  <si>
    <t>Володимирецький РЕМ</t>
  </si>
  <si>
    <t>Дубенський РЕМ</t>
  </si>
  <si>
    <t>Здолбунівський РЕМ</t>
  </si>
  <si>
    <t>Костопільський РЕМ</t>
  </si>
  <si>
    <t>Млинівський РЕМ</t>
  </si>
  <si>
    <t>Рівненський міський РЕМ</t>
  </si>
  <si>
    <t>Рівненський РЕМ</t>
  </si>
  <si>
    <t>Сарненський РЕМ</t>
  </si>
  <si>
    <t>1.5.1</t>
  </si>
  <si>
    <t>1.4.1</t>
  </si>
  <si>
    <t>Амортизація</t>
  </si>
  <si>
    <t xml:space="preserve"> </t>
  </si>
  <si>
    <t>1.1</t>
  </si>
  <si>
    <t>1,1.1</t>
  </si>
  <si>
    <t>1,1.2</t>
  </si>
  <si>
    <t>1,1.3</t>
  </si>
  <si>
    <t>1,1.4</t>
  </si>
  <si>
    <t>Гощанський РЕМ</t>
  </si>
  <si>
    <t>1,1.5</t>
  </si>
  <si>
    <t>1,1,6</t>
  </si>
  <si>
    <t>1,1,7</t>
  </si>
  <si>
    <t>1,1,8</t>
  </si>
  <si>
    <t>Зарічненський РЕМ</t>
  </si>
  <si>
    <t>1,1,9</t>
  </si>
  <si>
    <t>1,1,10</t>
  </si>
  <si>
    <t>1,1,11</t>
  </si>
  <si>
    <t>1,1,12</t>
  </si>
  <si>
    <t>1,1,13</t>
  </si>
  <si>
    <t>1,1,14</t>
  </si>
  <si>
    <t>1,1,15</t>
  </si>
  <si>
    <t>1,1,16</t>
  </si>
  <si>
    <t>1,1,17</t>
  </si>
  <si>
    <t>1,1,18</t>
  </si>
  <si>
    <t>1,1,19</t>
  </si>
  <si>
    <t>1,1,20</t>
  </si>
  <si>
    <t>1,1,21</t>
  </si>
  <si>
    <t>1,1,22</t>
  </si>
  <si>
    <t>1,1,23</t>
  </si>
  <si>
    <t>1,1,24</t>
  </si>
  <si>
    <t>1,1,25</t>
  </si>
  <si>
    <t>1,1,26</t>
  </si>
  <si>
    <t>1,1,27</t>
  </si>
  <si>
    <t>1.2</t>
  </si>
  <si>
    <t>1.3</t>
  </si>
  <si>
    <t>1.4</t>
  </si>
  <si>
    <t>Реконструкція РП-10/0,4кВ</t>
  </si>
  <si>
    <t>1.5</t>
  </si>
  <si>
    <t>Корецький РЕМ</t>
  </si>
  <si>
    <t>1.6</t>
  </si>
  <si>
    <t>Встановлення реклоузерів на ПЛ-10кВ із влаштуванням телемеханіки</t>
  </si>
  <si>
    <t>1.6.1</t>
  </si>
  <si>
    <t>1.6.2</t>
  </si>
  <si>
    <t>1.6.3</t>
  </si>
  <si>
    <t>1.7</t>
  </si>
  <si>
    <t>1.8</t>
  </si>
  <si>
    <t>Заміна приладів обліку класу 2,5 власними силами:</t>
  </si>
  <si>
    <t xml:space="preserve">Заміна 1-фазних лічильників  </t>
  </si>
  <si>
    <t xml:space="preserve">Встановлення балансних лічильників на ТП-10/0,4кВ: </t>
  </si>
  <si>
    <t>Встановлення балансних лічильників на ТП-10/0,4кВ</t>
  </si>
  <si>
    <t>2,5,1</t>
  </si>
  <si>
    <t xml:space="preserve">3-ф багатотарифний лічильник з модулем дистанційного зчитування (з GSM-модулем) прямого включення </t>
  </si>
  <si>
    <t>2,5,2</t>
  </si>
  <si>
    <t xml:space="preserve">3-ф багатотарифний лічильник з модулем дистанційного зчитування (з GSM-модулем) трансформаторного включення </t>
  </si>
  <si>
    <t>7.1</t>
  </si>
  <si>
    <t>7.2</t>
  </si>
  <si>
    <t>7.3</t>
  </si>
  <si>
    <t>ПЛІ-0,4кВ</t>
  </si>
  <si>
    <t>ПЛ-10кВ</t>
  </si>
  <si>
    <t>Встановлення розвантажувального ЩТП-40 кВА</t>
  </si>
  <si>
    <t>КЛ-10кВ</t>
  </si>
  <si>
    <t>1</t>
  </si>
  <si>
    <t>Прибуток</t>
  </si>
  <si>
    <t>Невмержицький С.М.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</si>
  <si>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2021 рік</t>
    </r>
    <r>
      <rPr>
        <sz val="11"/>
        <rFont val="Times New Roman"/>
        <family val="1"/>
        <charset val="204"/>
      </rPr>
      <t>, тис. грн (без ПДВ)</t>
    </r>
  </si>
  <si>
    <r>
      <t xml:space="preserve">Заплановано на </t>
    </r>
    <r>
      <rPr>
        <sz val="11"/>
        <color rgb="FFFF0000"/>
        <rFont val="Times New Roman"/>
        <family val="1"/>
        <charset val="204"/>
      </rPr>
      <t xml:space="preserve">І квартал 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</si>
  <si>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t>Заплановано на 2021 рік</t>
  </si>
  <si>
    <t xml:space="preserve">Заплановано на І квартал
(з наростаючим підсумком) </t>
  </si>
  <si>
    <t>ПЛ-0,4кВ від ТП-150 в с.Малинськ</t>
  </si>
  <si>
    <t>Встановлення розвантажувальних ЩТП-40кВА</t>
  </si>
  <si>
    <t>Заміна існ. тр-ра (160 на 100 кВА)</t>
  </si>
  <si>
    <t>ПЛ-0,4 кВ від ТП-129 в с.Хиночі</t>
  </si>
  <si>
    <t>Встановлення розвантажувального ЩТП-63кВА</t>
  </si>
  <si>
    <t>Встановлення розвантажувального ЩТП-40кВА</t>
  </si>
  <si>
    <t>заміна існуючої ТП (160 на 63 кВА)</t>
  </si>
  <si>
    <t>ПЛ-0,4 кВ від ТП-70 в с.Нетреба</t>
  </si>
  <si>
    <t>Заміна існуючого тр-ра (160 на 63 кВА)</t>
  </si>
  <si>
    <t>ПЛ-0,4кВ від ТП-86 смт. Гоща</t>
  </si>
  <si>
    <t>демонтаж існуючого КТП-86 100кВА</t>
  </si>
  <si>
    <t>ПЛ-0,4 кВ від КТП-67 в с. Федорівка</t>
  </si>
  <si>
    <t>Встановлення розвантажувальних ЩТП-25кВА</t>
  </si>
  <si>
    <t>Заміна існ. тр-ра з 160 на 25 кВа</t>
  </si>
  <si>
    <t>ПЛ-0,4кВ від ТП-217 в с. Микитичі</t>
  </si>
  <si>
    <t>ЩТП-25кВа розвантажувальне</t>
  </si>
  <si>
    <t>КТП-63кВа розвантажувальне</t>
  </si>
  <si>
    <t>ПЛ-0,4кВ від ТП-298 в с. Привільне</t>
  </si>
  <si>
    <t>ПЛ-0,4 кВ від КТП-417 в с. Привільне</t>
  </si>
  <si>
    <t>Дубровицький РЕМ</t>
  </si>
  <si>
    <t>ПЛ-0,4кВ від ТП-32 в с.Бережки</t>
  </si>
  <si>
    <t>ЩТП-25кВа  встановлення нової</t>
  </si>
  <si>
    <t>ЩТП-40кВа  встановлення нової</t>
  </si>
  <si>
    <t>Заміна існуючого тр-ра (250 кВА на 40 кВА)</t>
  </si>
  <si>
    <t>ПЛ-0,4 кВ від ТП-115 в c.Серники</t>
  </si>
  <si>
    <t>КТП-63 кВа  встановлення нової</t>
  </si>
  <si>
    <t>КТП-40 кВа  встановлення нової</t>
  </si>
  <si>
    <t>Заміна існуючої ТП  (100 кВА на 100кВА)</t>
  </si>
  <si>
    <t>ПЛ-0,4кВ від ЗТП-1 в м.Здолбунів</t>
  </si>
  <si>
    <t>КЛ-0,4кВ</t>
  </si>
  <si>
    <t xml:space="preserve"> ПЛ-0,4кВ від ТП-152 с. Крилів</t>
  </si>
  <si>
    <t>Заміна існ. тр-ра з 63 на 100 кВа</t>
  </si>
  <si>
    <t>ПЛ-0,4кВ від КТП-293 с. Весняне</t>
  </si>
  <si>
    <t>Заміна існ. тр-ра 100 кВа на 100 кВа</t>
  </si>
  <si>
    <t>ПЛ-0,4кВ від ТП-348 в м. Костопіль</t>
  </si>
  <si>
    <t>Встановлення розвантажувальної ТП-100 кВа</t>
  </si>
  <si>
    <t>ПЛ-0,4кВ від ТП-311 в м. Костопіль</t>
  </si>
  <si>
    <t>Заміна існ. тр-ра з 200 на 250 кВА</t>
  </si>
  <si>
    <t>ПЛ-0,4кВ від ТП-315 в м. Костопіль</t>
  </si>
  <si>
    <t>Встановлення розвантажувальних КТТП 400 кВА</t>
  </si>
  <si>
    <t>ПЛ-0,4кВ від ТП-464 в с.Товпижин</t>
  </si>
  <si>
    <t>ЩТП-40кВа розвантажувальне</t>
  </si>
  <si>
    <t>Заміна існуючого тр-ра (100кВА на 40 кВА)</t>
  </si>
  <si>
    <t>ПЛ-0,4кВ від ЗТП-430 в смт.Млинів</t>
  </si>
  <si>
    <t>ПЛ-0,4кВ від КТП-294 с.Острожець</t>
  </si>
  <si>
    <t>Встановлення розвантажувальних ЩТП 25 кВа</t>
  </si>
  <si>
    <t>демонтаж існуючого КТП 63кВА</t>
  </si>
  <si>
    <t>Острозький РЕМ</t>
  </si>
  <si>
    <t>ПЛ-0.4 від КТП-240 в с.Оженіно</t>
  </si>
  <si>
    <t>Заміна існуючого ТП 160кВа на 63кВа</t>
  </si>
  <si>
    <t>ПЛ-0,4 кВ від КТП-16  в с.Черняхів</t>
  </si>
  <si>
    <t>Заміна існуючого ТП 160кВа на 100кВа</t>
  </si>
  <si>
    <t>ПЛ-0,4кВ від КТП-208 в с.Могиляни</t>
  </si>
  <si>
    <t>Встановлення розвантажувальної КТП 63 кВА</t>
  </si>
  <si>
    <t>Заміна існуючого ТП  100кВа на 100кВа</t>
  </si>
  <si>
    <t>Радивилівський РЕМ</t>
  </si>
  <si>
    <t xml:space="preserve">ПЛ-0,4кВ від ТП-166 в с.Пасіки </t>
  </si>
  <si>
    <t>ПЛ-0,4кВ від ТП-300 в м. Рівне</t>
  </si>
  <si>
    <t>ПЛ-0,4кВ від ТП-219 в м.Рівне</t>
  </si>
  <si>
    <t>ПЛ-0,4кВ від ТП-148 в м.Рівне</t>
  </si>
  <si>
    <t xml:space="preserve">ПЛ-0,4 кВ від ТП-278 в c. Переділи </t>
  </si>
  <si>
    <t>Заміна існуючого тр-ра (100квА на 25 кВА)</t>
  </si>
  <si>
    <t xml:space="preserve">ПЛ-0,4 кВ від ТП-172 в c. Козлин </t>
  </si>
  <si>
    <t xml:space="preserve">ПЛ-0,4 кВ від ТП-13 в c. Ю.Новостав </t>
  </si>
  <si>
    <t>ЩТП-10/0,4кВа розвантажувальне 40 кВА</t>
  </si>
  <si>
    <t>заміна тр-ра в існ. КТП 100 кВА на 63 кВА</t>
  </si>
  <si>
    <t xml:space="preserve">ПЛ-0,4 кВ від ТП-27 в c. Сухівці </t>
  </si>
  <si>
    <t>ПЛЗ-10кВ</t>
  </si>
  <si>
    <t>заміна тр-ра в існуючому КТП 100 кВА на 63 кВА</t>
  </si>
  <si>
    <t>Рокитнівський РЕМ</t>
  </si>
  <si>
    <t>ПЛІ-0,4 кВ від ТП-278 в  с.Березове</t>
  </si>
  <si>
    <t>ЩТП-100кВа розвантажувальне</t>
  </si>
  <si>
    <t xml:space="preserve">ПЛ-0,4 кВ від ТП-90 в м. Сарни </t>
  </si>
  <si>
    <t>ПЛ-0,4 кВ від ТП-423 в c.Корост</t>
  </si>
  <si>
    <t>Заміна існ. тр-ра 160 кВа на 160кВа</t>
  </si>
  <si>
    <t>ПЛ-0,4 кВ від ТП-388 в c. Селище</t>
  </si>
  <si>
    <t>ПЛ-0,4 кВ від ТП-427 в c. Корост</t>
  </si>
  <si>
    <t>Встановлення розвантажувальної КТП 160 кВа</t>
  </si>
  <si>
    <t>Заміна існ. тр-ра на 160 кВа на 160кВа</t>
  </si>
  <si>
    <t>1,1,28</t>
  </si>
  <si>
    <t>1,1,29</t>
  </si>
  <si>
    <t>1,1,30</t>
  </si>
  <si>
    <t>1,1,31</t>
  </si>
  <si>
    <t>1,1,32</t>
  </si>
  <si>
    <t>1,1,33</t>
  </si>
  <si>
    <t>1,1,34</t>
  </si>
  <si>
    <t>1,1,35</t>
  </si>
  <si>
    <t>Реактивна е/е 11528,07 Прибуток 69233,35</t>
  </si>
  <si>
    <t xml:space="preserve">Виготовлення ПКД </t>
  </si>
  <si>
    <t xml:space="preserve">Реконструкція ПЛ-0,4кВ від ТП-245 с. Кринички </t>
  </si>
  <si>
    <t>Реконструкція ПЛ-0,4кВ від ТП-515с. Княгинин</t>
  </si>
  <si>
    <t>Реконструкція ПЛ-0,4кВ від ТП-452 с. Перекалі</t>
  </si>
  <si>
    <t>Реконструкція ПЛ-0,4кВ від ТП-159 с. Перекалі</t>
  </si>
  <si>
    <t>Реконструкція ПЛ-0,4кВ від ТП-160 с. Охматків</t>
  </si>
  <si>
    <t>Реконструкція ПЛ-0,4кВ від ТП-161 с. Охматків</t>
  </si>
  <si>
    <t>Реконструкція ПЛ-0,4кВ від КТП-79 с.Малин</t>
  </si>
  <si>
    <t>Реконструкція ПЛ-0,4кВ від КТП-413 с.Малин</t>
  </si>
  <si>
    <t>Реконструкція ПЛ-0,4кВ від ТП-212 в с. Срібне</t>
  </si>
  <si>
    <t>Реконструкція ПЛ-0,4кВ від ТП-872 с. Колоденка</t>
  </si>
  <si>
    <t>Реконструкція ПЛ-0,4кВ від ТП-864 с. Колоденка</t>
  </si>
  <si>
    <t>Реконструкція ПЛ-0,4кВ від ТП-890 с. Колоденка</t>
  </si>
  <si>
    <t>Реконструкція ПЛ-0,4кВ від ТП-868 с. Колоденка</t>
  </si>
  <si>
    <t>Реконструкція ПЛ-0,4кВ від ТП-893 с. Колоденка</t>
  </si>
  <si>
    <t>Реконструкція ПЛ-0,4кВ від ТП-581 с. Чемерне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</si>
  <si>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</si>
  <si>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</si>
  <si>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</si>
  <si>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</si>
  <si>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</si>
  <si>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</si>
  <si>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</si>
  <si>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</si>
  <si>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</si>
  <si>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</si>
  <si>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</si>
  <si>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</si>
  <si>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</si>
  <si>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</si>
  <si>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Реконструкція РП-25 в м. Рівне (модернізація релейного захисту та автоматики)</t>
  </si>
  <si>
    <t>Реконструкція РП-23 в м. Рівне (модернізація релейного захисту та автоматики)</t>
  </si>
  <si>
    <t>Реконструкція РП-8 в м. Рівне</t>
  </si>
  <si>
    <t>1.5.2</t>
  </si>
  <si>
    <t>1.5.3</t>
  </si>
  <si>
    <t>Будівництво/реконструкція ПЛ-6-10кВ:</t>
  </si>
  <si>
    <t>Будівництво ПЛ-10 кВ від оп.237 ПЛ-10 кВ Л-12-08 "Жобрин" до ТП-797 в с.Мочулки, Рівненського району</t>
  </si>
  <si>
    <t>Реконструкція ПЛ-10кВ Л 01-04 "Місто" від оп.94 до оп.101 в м. Радивилів Радивилівського району Рівненської області</t>
  </si>
  <si>
    <t>Реконструкція ПЛ-10кВ Л-49-02 "Біле"з влаштуванням роз'єднувачів вихлопного типу, та реклоузера з телемеханікою</t>
  </si>
  <si>
    <t>Реконструкція ПЛ-10кВ Л-53-04 "Березіно"з влаштуванням роз'єднувачів вихлопного типу, та  реклоузера з телемеханікою</t>
  </si>
  <si>
    <t>Реконструкція ПЛ-10кВ Л-12-05 "Михайлівка"з влаштуванням роз'єднувачів вихлопного типу</t>
  </si>
  <si>
    <t>Реконструкція ПЛ-10кВ Л-53-02 "Мульчиці"з влаштуванням роз'єднувачів вихлопного типу</t>
  </si>
  <si>
    <t>1.6.4</t>
  </si>
  <si>
    <t>1.6.5</t>
  </si>
  <si>
    <t>1.6.6</t>
  </si>
  <si>
    <t>Реконструкція КЛ-10кВ Л.75-16 "На ТП-62" ТП №4 - ТП №62 м. Сарни Рівненської області</t>
  </si>
  <si>
    <t>Реконструкція КЛ-10кВ від ПС 35/10кВ №75 «Льонозавод» КРУН- 10кВ ком№17  «Продтовари» - до ЗТП-79, Сарненського району</t>
  </si>
  <si>
    <t xml:space="preserve">КЛ-10кВ  Л. 06-07 «Насосна станція» в смт.Млинів </t>
  </si>
  <si>
    <t>КЛ-10кВ ЗТП-045 Р-5 ф.73-04 "Місто" в м.Остріг</t>
  </si>
  <si>
    <t>1.7.1</t>
  </si>
  <si>
    <t>1.7.2</t>
  </si>
  <si>
    <t>1.7.3</t>
  </si>
  <si>
    <t>1.7.4</t>
  </si>
  <si>
    <t>Реконструкція КЛ-0,4кВ:</t>
  </si>
  <si>
    <t xml:space="preserve">КЛ-0,4 кВ  Л-3 "Банк" - ЗТП-223 в м.Корець </t>
  </si>
  <si>
    <t>1.8.1</t>
  </si>
  <si>
    <t>1.9.1</t>
  </si>
  <si>
    <t>ПЛ-10кВ Л- "к.15 Тайкури"</t>
  </si>
  <si>
    <t>1.9.2</t>
  </si>
  <si>
    <t xml:space="preserve">ПЛ-10кВ Л-29-01 "Ремчиці" </t>
  </si>
  <si>
    <t>1.9.3</t>
  </si>
  <si>
    <t xml:space="preserve">ПЛ-10кВ Л-12-08 "Жобрин" </t>
  </si>
  <si>
    <t>1.9.4</t>
  </si>
  <si>
    <t>ПЛ-10кВ Л-37-01 "Дермань"</t>
  </si>
  <si>
    <t>1.9.5</t>
  </si>
  <si>
    <t xml:space="preserve">ПЛ-10кВ Л-16-09 "Князівка" </t>
  </si>
  <si>
    <t>Реконструкція ПЛ-10кВ  (влаштування роз'єднувачів вихлопного типу, та індикаторів пошкодження з передачою даних)</t>
  </si>
  <si>
    <t>1.10.1</t>
  </si>
  <si>
    <t>Реконструкція ПЛ-10кВ Л- "к.15 Тайкури"  (влаштування роз'єднувачів вихлопного типу)</t>
  </si>
  <si>
    <t>1.10.2</t>
  </si>
  <si>
    <t>Реконструкція ПЛ-10кВ Л-29-01 "Ремчиці"  (влаштування роз'єднувачів вихлопного типу)</t>
  </si>
  <si>
    <t>1.10.3</t>
  </si>
  <si>
    <t>Реконструкція ПЛ-10кВ Л-121-05 "Городок"  (влаштування роз'єднувачів вихлопного типу)</t>
  </si>
  <si>
    <t>1.10.4</t>
  </si>
  <si>
    <t>Реконструкція ПЛ-10кВ Л-79-17 "Люхча"  (влаштування роз'єднувачів вихлопного типу)</t>
  </si>
  <si>
    <t>1.10.5</t>
  </si>
  <si>
    <t>Реконструкція ПЛ-10кВ Л-122-07 "Кідри"  (влаштування роз'єднувачів вихлопного типу)</t>
  </si>
  <si>
    <t>1.10.6</t>
  </si>
  <si>
    <t>Реконструкція ПЛ-10кВ Л-12-08 "Жобрин"  (влаштування роз'єднувачів вихлопного типу)</t>
  </si>
  <si>
    <t>1.10.7</t>
  </si>
  <si>
    <t>Реконструкція ПЛ-10кВ Л-72-27 "Пісків"  (влаштування роз'єднувачів вихлопного типу)</t>
  </si>
  <si>
    <t>1.10.8</t>
  </si>
  <si>
    <t>Реконструкція ПЛ-10кВ Л-37-01 "Дермань"  (влаштування роз'єднувачів вихлопного типу)</t>
  </si>
  <si>
    <t>1.10.9</t>
  </si>
  <si>
    <t>Реконструкція ПЛ-10кВ Л-16-09 "Князівка"  (влаштування роз'єднувачів вихлопного типу)</t>
  </si>
  <si>
    <t>1.11</t>
  </si>
  <si>
    <t>Реконструкція ПС 110/35/10 кВ "Сарни" №79</t>
  </si>
  <si>
    <t>1.12</t>
  </si>
  <si>
    <t>Заміна СМВ-35кВ, СР1 і СР2 35 на блок СВВ 35, СР1 і СР2 35, ТС 35, та два комплекти ОПН 35 з комплектом захистів на ПС 35/10 "Лютинськ"</t>
  </si>
  <si>
    <t>1.13</t>
  </si>
  <si>
    <t>Заміна МВ-35кВ, ЛР і ШР-35 Блажево на блок ВВ-35, ЛР і ШР 35, ТС 35, ОПН 35 з комплектом захистів на ПС 110/35/10 "Рокитне"</t>
  </si>
  <si>
    <t>1.14</t>
  </si>
  <si>
    <t>Техніко-економічне обгрунтування доцільності встановлення та розрахунок потужності БСК на ПС 110/35/10 "Сарни"</t>
  </si>
  <si>
    <t>Прибуток 31900,20 Небаланс ТВЕ 9088,00 Амортизаія 5560,98</t>
  </si>
  <si>
    <t>Реактивна е/е 1380,00 Амортизація 20878,02</t>
  </si>
  <si>
    <t>Телемеханіка Рівненський міський РЕМ РП-23 (10 кВ)</t>
  </si>
  <si>
    <t>Телемеханіка Рівненський міський РЕМ РП-16 (10 кВ)</t>
  </si>
  <si>
    <t>Реактивна е/е 1400,00 Амортизація 2975,00</t>
  </si>
  <si>
    <t>Реактивна е/е 24,60 Амортизація 404,40</t>
  </si>
  <si>
    <t>Закупівля нових робочих станцій  (або еквівалент)</t>
  </si>
  <si>
    <t>Портативний компютер DELL  (або еквівалент)</t>
  </si>
  <si>
    <t>БФП для середніх робочих груп HP LaserJet мережевий  (або еквівалент)</t>
  </si>
  <si>
    <t xml:space="preserve">Реактивна е/е </t>
  </si>
  <si>
    <t>Дисковий масив HPE 3PAR 8400 з дисками  (або еквівалент)</t>
  </si>
  <si>
    <t>4.5</t>
  </si>
  <si>
    <t>Дискова поличка розширення до HPE 3PAR 8400 з дисками  (або еквівалент)</t>
  </si>
  <si>
    <t>4.6</t>
  </si>
  <si>
    <t>Оптичний комутатор HPE SN3000B з модулями  (або еквівалент)</t>
  </si>
  <si>
    <t>4.7</t>
  </si>
  <si>
    <t>Кондиціонер серверний HPSC/HPSE14  (або еквівалент)</t>
  </si>
  <si>
    <t>Модернізація РРЛ системи передачі даних СПІ Костопіль - ПС Степань</t>
  </si>
  <si>
    <t>Модернізація РРЛ системи передачі даних СПІ ПС Степань - Сарни</t>
  </si>
  <si>
    <t>Модернізація РРЛ системи передачі даних СПІ ПС Південна - ПС Озеряни</t>
  </si>
  <si>
    <t>Модернізація РРЛ системи передачі даних СПІ ПС Озеряни - Дубно</t>
  </si>
  <si>
    <t>Модернізація РРЛ системи передачі даних СПІ Дубно - Млинів</t>
  </si>
  <si>
    <t>Модернізація РРЛ системи передачі даних СПІ Дубно - ПС Смига</t>
  </si>
  <si>
    <t>Модернізація РРЛ системи передачі даних СПІ ПС Смига - Радивилів</t>
  </si>
  <si>
    <t>Система селекторних нарад та конферен-зв‘язку</t>
  </si>
  <si>
    <t>БКМ-2М на базі ХТА-200 (або еквівалент)</t>
  </si>
  <si>
    <t>ТК-G-3309-АGP-18 (або еквівалент)</t>
  </si>
  <si>
    <t>ТК-G-3309 АС20(бригадний) (або еквівалент)</t>
  </si>
  <si>
    <t>Рено докер пасажир (або еквівалент)</t>
  </si>
  <si>
    <t>ГАЗ-33023(газель бригадна) (або еквівалент)</t>
  </si>
  <si>
    <t>ТК-U-3909 ВП6 (або еквівалент)</t>
  </si>
  <si>
    <t>міні екскаватор JCB-55Z-1 (або еквівалент)</t>
  </si>
  <si>
    <t>Аналізатор якості електроенергії (стаціонарний) класу "А" (або еквівалент)</t>
  </si>
  <si>
    <t>Універсальний інструмент CP-FLM20 фірми Cellpack для роботи із кабелем із шитого поліетилену (або еквівалент)</t>
  </si>
  <si>
    <r>
      <t xml:space="preserve">2. Детальний звіт щодо виконання інвестиційної програми ПрАТ "Рівнеобленерго" за </t>
    </r>
    <r>
      <rPr>
        <b/>
        <sz val="20"/>
        <color rgb="FFFF0000"/>
        <rFont val="Times New Roman"/>
        <family val="1"/>
        <charset val="204"/>
      </rPr>
      <t xml:space="preserve">січень-березень </t>
    </r>
    <r>
      <rPr>
        <b/>
        <sz val="20"/>
        <rFont val="Times New Roman"/>
        <family val="1"/>
        <charset val="204"/>
      </rPr>
      <t>2021 року</t>
    </r>
  </si>
  <si>
    <t xml:space="preserve">Акт вводу форма ОЗ-1 №10/03/2021 від 31.03.2021 </t>
  </si>
  <si>
    <t xml:space="preserve">Акт вводу форма ОЗ-1 №11/03/2021 від 31.03.2021 </t>
  </si>
  <si>
    <t xml:space="preserve">Акт вводу форма ОЗ-1 №28/01/2021 від 31.01.2021   Акт вводу форма ОЗ-1 №18/02/2021 від 28.02.2021 </t>
  </si>
  <si>
    <t>Акт вводу форма ОЗ-1</t>
  </si>
  <si>
    <r>
      <t xml:space="preserve">1. Звіт щодо виконання інвестиційної програми ПрАТ "Рівнеобленерго" </t>
    </r>
    <r>
      <rPr>
        <b/>
        <sz val="14"/>
        <color indexed="10"/>
        <rFont val="Times New Roman"/>
        <family val="1"/>
        <charset val="204"/>
      </rPr>
      <t xml:space="preserve">за січень-березень 2021 року </t>
    </r>
  </si>
  <si>
    <r>
      <t xml:space="preserve">Виконано за </t>
    </r>
    <r>
      <rPr>
        <sz val="11"/>
        <color rgb="FFFF0000"/>
        <rFont val="Times New Roman"/>
        <family val="1"/>
        <charset val="204"/>
      </rPr>
      <t xml:space="preserve">3 місяці </t>
    </r>
    <r>
      <rPr>
        <sz val="11"/>
        <rFont val="Times New Roman"/>
        <family val="1"/>
        <charset val="204"/>
      </rPr>
      <t>(з наростаючим підсумком), тис. грн (без ПДВ)</t>
    </r>
  </si>
  <si>
    <t>"19 " квітня 2021 року</t>
  </si>
  <si>
    <t>Бензопила STIHL MS-250 (або еквівалент)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</si>
</sst>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0_ ;[Red]\-#,##0.00\ "/>
    <numFmt numFmtId="166" formatCode="#,##0.0_ ;[Red]\-#,##0.0\ "/>
    <numFmt numFmtId="167" formatCode="#,##0.000_ ;[Red]\-#,##0.000\ "/>
    <numFmt numFmtId="168" formatCode="#,##0_ ;[Red]\-#,##0\ "/>
    <numFmt numFmtId="169" formatCode="0.000"/>
    <numFmt numFmtId="170" formatCode="#,##0.000"/>
  </numFmts>
  <fonts count="6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8" fillId="0" borderId="0"/>
    <xf numFmtId="0" fontId="15" fillId="0" borderId="0"/>
    <xf numFmtId="0" fontId="15" fillId="0" borderId="0"/>
    <xf numFmtId="0" fontId="4" fillId="0" borderId="0"/>
    <xf numFmtId="0" fontId="2" fillId="0" borderId="0"/>
    <xf numFmtId="0" fontId="2" fillId="0" borderId="0"/>
    <xf numFmtId="0" fontId="15" fillId="0" borderId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23" fillId="23" borderId="7" applyNumberFormat="0" applyFont="0" applyAlignment="0" applyProtection="0"/>
    <xf numFmtId="0" fontId="36" fillId="20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15" fillId="0" borderId="0"/>
    <xf numFmtId="0" fontId="9" fillId="0" borderId="0"/>
    <xf numFmtId="0" fontId="9" fillId="0" borderId="0"/>
    <xf numFmtId="0" fontId="6" fillId="0" borderId="0"/>
    <xf numFmtId="0" fontId="9" fillId="0" borderId="0"/>
    <xf numFmtId="9" fontId="2" fillId="0" borderId="0" applyFont="0" applyFill="0" applyBorder="0" applyAlignment="0" applyProtection="0"/>
    <xf numFmtId="0" fontId="21" fillId="0" borderId="0"/>
    <xf numFmtId="0" fontId="15" fillId="0" borderId="0"/>
    <xf numFmtId="0" fontId="2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9" fontId="50" fillId="0" borderId="0" applyFont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</cellStyleXfs>
  <cellXfs count="448">
    <xf numFmtId="0" fontId="0" fillId="0" borderId="0" xfId="0"/>
    <xf numFmtId="0" fontId="4" fillId="0" borderId="0" xfId="34" applyFont="1" applyBorder="1" applyProtection="1"/>
    <xf numFmtId="0" fontId="4" fillId="0" borderId="0" xfId="34" applyFont="1" applyProtection="1"/>
    <xf numFmtId="0" fontId="7" fillId="0" borderId="0" xfId="34" applyFont="1"/>
    <xf numFmtId="0" fontId="8" fillId="0" borderId="0" xfId="34" applyFont="1"/>
    <xf numFmtId="0" fontId="10" fillId="0" borderId="0" xfId="34" applyFont="1" applyAlignment="1">
      <alignment horizontal="left" indent="1"/>
    </xf>
    <xf numFmtId="0" fontId="7" fillId="0" borderId="0" xfId="34" applyFont="1" applyProtection="1"/>
    <xf numFmtId="0" fontId="7" fillId="0" borderId="0" xfId="34" applyFont="1" applyAlignment="1" applyProtection="1">
      <alignment horizontal="left" indent="1"/>
    </xf>
    <xf numFmtId="0" fontId="8" fillId="0" borderId="10" xfId="34" applyNumberFormat="1" applyFont="1" applyFill="1" applyBorder="1" applyAlignment="1" applyProtection="1">
      <alignment horizontal="center" vertical="center" wrapText="1"/>
    </xf>
    <xf numFmtId="4" fontId="8" fillId="0" borderId="10" xfId="34" applyNumberFormat="1" applyFont="1" applyFill="1" applyBorder="1" applyAlignment="1" applyProtection="1">
      <alignment horizontal="center" vertical="center"/>
    </xf>
    <xf numFmtId="10" fontId="8" fillId="0" borderId="10" xfId="34" applyNumberFormat="1" applyFont="1" applyFill="1" applyBorder="1" applyAlignment="1" applyProtection="1">
      <alignment horizontal="center" vertical="center"/>
    </xf>
    <xf numFmtId="0" fontId="8" fillId="0" borderId="0" xfId="34" applyFont="1" applyProtection="1"/>
    <xf numFmtId="0" fontId="8" fillId="0" borderId="10" xfId="34" applyFont="1" applyFill="1" applyBorder="1" applyAlignment="1" applyProtection="1">
      <alignment horizontal="center" vertical="center" wrapText="1"/>
    </xf>
    <xf numFmtId="0" fontId="8" fillId="0" borderId="12" xfId="34" applyFont="1" applyFill="1" applyBorder="1" applyAlignment="1" applyProtection="1">
      <alignment horizontal="center" vertical="center" wrapText="1"/>
    </xf>
    <xf numFmtId="0" fontId="8" fillId="0" borderId="10" xfId="34" applyFont="1" applyFill="1" applyBorder="1" applyAlignment="1" applyProtection="1">
      <alignment horizontal="center" vertical="center"/>
    </xf>
    <xf numFmtId="4" fontId="8" fillId="0" borderId="10" xfId="34" applyNumberFormat="1" applyFont="1" applyFill="1" applyBorder="1" applyAlignment="1" applyProtection="1">
      <alignment horizontal="center" vertical="center"/>
      <protection locked="0"/>
    </xf>
    <xf numFmtId="0" fontId="8" fillId="0" borderId="0" xfId="34" applyFont="1" applyFill="1" applyProtection="1"/>
    <xf numFmtId="0" fontId="8" fillId="0" borderId="0" xfId="34" applyFont="1" applyFill="1"/>
    <xf numFmtId="0" fontId="10" fillId="0" borderId="13" xfId="34" applyFont="1" applyFill="1" applyBorder="1" applyAlignment="1" applyProtection="1">
      <alignment horizontal="center" vertical="center"/>
    </xf>
    <xf numFmtId="0" fontId="13" fillId="0" borderId="10" xfId="34" applyFont="1" applyFill="1" applyBorder="1" applyAlignment="1" applyProtection="1">
      <alignment horizontal="left" vertical="center" indent="1"/>
    </xf>
    <xf numFmtId="0" fontId="10" fillId="0" borderId="10" xfId="34" applyFont="1" applyFill="1" applyBorder="1" applyAlignment="1" applyProtection="1">
      <alignment horizontal="left" vertical="center" indent="1"/>
    </xf>
    <xf numFmtId="0" fontId="10" fillId="0" borderId="10" xfId="34" applyFont="1" applyFill="1" applyBorder="1" applyAlignment="1">
      <alignment horizontal="left" vertical="center" indent="1"/>
    </xf>
    <xf numFmtId="0" fontId="10" fillId="0" borderId="11" xfId="34" applyFont="1" applyFill="1" applyBorder="1" applyAlignment="1" applyProtection="1">
      <alignment horizontal="center" vertical="center"/>
    </xf>
    <xf numFmtId="0" fontId="9" fillId="0" borderId="0" xfId="34" applyFont="1" applyFill="1"/>
    <xf numFmtId="0" fontId="9" fillId="0" borderId="0" xfId="34" applyFont="1" applyAlignment="1" applyProtection="1">
      <alignment horizontal="left" indent="4"/>
    </xf>
    <xf numFmtId="0" fontId="9" fillId="0" borderId="0" xfId="34" applyFont="1" applyProtection="1"/>
    <xf numFmtId="0" fontId="10" fillId="0" borderId="0" xfId="34" applyFont="1" applyAlignment="1"/>
    <xf numFmtId="0" fontId="10" fillId="0" borderId="0" xfId="34" applyFont="1" applyAlignment="1">
      <alignment horizontal="left" indent="4"/>
    </xf>
    <xf numFmtId="0" fontId="14" fillId="0" borderId="0" xfId="34" applyFont="1" applyFill="1" applyAlignment="1">
      <alignment horizontal="left"/>
    </xf>
    <xf numFmtId="0" fontId="15" fillId="0" borderId="0" xfId="34" applyFont="1" applyFill="1" applyProtection="1"/>
    <xf numFmtId="0" fontId="7" fillId="0" borderId="0" xfId="34" applyFont="1" applyFill="1"/>
    <xf numFmtId="0" fontId="16" fillId="0" borderId="0" xfId="34" applyFont="1" applyFill="1"/>
    <xf numFmtId="0" fontId="7" fillId="0" borderId="0" xfId="34" applyFont="1" applyFill="1" applyAlignment="1">
      <alignment horizontal="center"/>
    </xf>
    <xf numFmtId="0" fontId="17" fillId="0" borderId="0" xfId="34" applyFont="1" applyFill="1"/>
    <xf numFmtId="0" fontId="7" fillId="0" borderId="0" xfId="53" applyFont="1" applyFill="1" applyProtection="1">
      <protection hidden="1"/>
    </xf>
    <xf numFmtId="0" fontId="7" fillId="0" borderId="0" xfId="53" applyFont="1" applyFill="1" applyAlignment="1" applyProtection="1">
      <alignment horizontal="center"/>
      <protection hidden="1"/>
    </xf>
    <xf numFmtId="0" fontId="7" fillId="0" borderId="0" xfId="53" applyFont="1" applyFill="1" applyAlignment="1" applyProtection="1">
      <alignment horizontal="left"/>
      <protection hidden="1"/>
    </xf>
    <xf numFmtId="0" fontId="7" fillId="0" borderId="0" xfId="53" applyFont="1" applyFill="1" applyAlignment="1" applyProtection="1">
      <alignment horizontal="left" indent="3"/>
      <protection hidden="1"/>
    </xf>
    <xf numFmtId="0" fontId="7" fillId="0" borderId="0" xfId="53" applyFont="1" applyFill="1" applyAlignment="1" applyProtection="1">
      <protection hidden="1"/>
    </xf>
    <xf numFmtId="0" fontId="8" fillId="24" borderId="10" xfId="34" applyFont="1" applyFill="1" applyBorder="1" applyAlignment="1" applyProtection="1">
      <alignment horizontal="center" vertical="top" wrapText="1"/>
    </xf>
    <xf numFmtId="0" fontId="8" fillId="24" borderId="10" xfId="34" applyFont="1" applyFill="1" applyBorder="1" applyAlignment="1" applyProtection="1">
      <alignment horizontal="center" vertical="center"/>
    </xf>
    <xf numFmtId="0" fontId="5" fillId="0" borderId="0" xfId="53" applyFont="1" applyBorder="1" applyAlignment="1" applyProtection="1">
      <alignment horizontal="left"/>
      <protection hidden="1"/>
    </xf>
    <xf numFmtId="0" fontId="8" fillId="0" borderId="0" xfId="35" applyFont="1" applyAlignment="1">
      <alignment horizontal="center" vertical="center" wrapText="1"/>
    </xf>
    <xf numFmtId="0" fontId="8" fillId="0" borderId="0" xfId="53" applyFont="1" applyProtection="1">
      <protection hidden="1"/>
    </xf>
    <xf numFmtId="0" fontId="7" fillId="0" borderId="0" xfId="37" applyFont="1" applyFill="1"/>
    <xf numFmtId="0" fontId="5" fillId="0" borderId="0" xfId="53" applyFont="1" applyFill="1" applyBorder="1" applyAlignment="1" applyProtection="1">
      <alignment horizontal="left"/>
      <protection hidden="1"/>
    </xf>
    <xf numFmtId="0" fontId="7" fillId="0" borderId="0" xfId="38" applyFont="1" applyAlignment="1">
      <alignment horizontal="center" vertical="center" wrapText="1"/>
    </xf>
    <xf numFmtId="0" fontId="7" fillId="0" borderId="0" xfId="38" applyFont="1" applyAlignment="1" applyProtection="1">
      <alignment horizontal="center" vertical="center"/>
    </xf>
    <xf numFmtId="0" fontId="9" fillId="0" borderId="0" xfId="38" applyFont="1" applyAlignment="1" applyProtection="1">
      <alignment horizontal="center" vertical="center"/>
    </xf>
    <xf numFmtId="0" fontId="8" fillId="0" borderId="0" xfId="53" applyFont="1" applyFill="1" applyProtection="1">
      <protection hidden="1"/>
    </xf>
    <xf numFmtId="4" fontId="5" fillId="25" borderId="10" xfId="34" applyNumberFormat="1" applyFont="1" applyFill="1" applyBorder="1" applyAlignment="1" applyProtection="1">
      <alignment horizontal="center" vertical="center"/>
    </xf>
    <xf numFmtId="10" fontId="5" fillId="25" borderId="10" xfId="34" applyNumberFormat="1" applyFont="1" applyFill="1" applyBorder="1" applyAlignment="1" applyProtection="1">
      <alignment horizontal="center" vertical="center"/>
    </xf>
    <xf numFmtId="0" fontId="8" fillId="0" borderId="0" xfId="38" applyFont="1" applyAlignment="1">
      <alignment horizontal="center" vertical="center" wrapText="1"/>
    </xf>
    <xf numFmtId="0" fontId="8" fillId="0" borderId="0" xfId="38" applyFont="1" applyAlignment="1">
      <alignment horizontal="center"/>
    </xf>
    <xf numFmtId="0" fontId="22" fillId="0" borderId="0" xfId="53" applyFont="1" applyAlignment="1" applyProtection="1">
      <alignment horizontal="left"/>
      <protection hidden="1"/>
    </xf>
    <xf numFmtId="0" fontId="8" fillId="0" borderId="0" xfId="38" applyFont="1" applyAlignment="1" applyProtection="1">
      <alignment horizontal="center" vertical="center"/>
    </xf>
    <xf numFmtId="0" fontId="8" fillId="0" borderId="0" xfId="53" applyFont="1" applyAlignment="1" applyProtection="1">
      <protection hidden="1"/>
    </xf>
    <xf numFmtId="14" fontId="2" fillId="25" borderId="14" xfId="34" applyNumberFormat="1" applyFont="1" applyFill="1" applyBorder="1" applyAlignment="1" applyProtection="1">
      <alignment horizontal="center" vertical="center"/>
      <protection locked="0"/>
    </xf>
    <xf numFmtId="0" fontId="8" fillId="0" borderId="0" xfId="58" applyFont="1" applyFill="1"/>
    <xf numFmtId="0" fontId="8" fillId="0" borderId="0" xfId="58" applyFont="1" applyFill="1" applyBorder="1"/>
    <xf numFmtId="0" fontId="8" fillId="0" borderId="0" xfId="58" applyFont="1" applyFill="1" applyAlignment="1">
      <alignment horizontal="center" vertical="center" wrapText="1"/>
    </xf>
    <xf numFmtId="0" fontId="12" fillId="0" borderId="10" xfId="58" applyFont="1" applyFill="1" applyBorder="1" applyAlignment="1">
      <alignment horizontal="center"/>
    </xf>
    <xf numFmtId="0" fontId="8" fillId="0" borderId="10" xfId="58" applyFont="1" applyFill="1" applyBorder="1" applyAlignment="1">
      <alignment horizontal="center" vertical="center" wrapText="1"/>
    </xf>
    <xf numFmtId="164" fontId="40" fillId="0" borderId="10" xfId="51" applyNumberFormat="1" applyFont="1" applyFill="1" applyBorder="1" applyAlignment="1">
      <alignment horizontal="center" vertical="center" wrapText="1"/>
    </xf>
    <xf numFmtId="0" fontId="40" fillId="0" borderId="10" xfId="40" applyFont="1" applyFill="1" applyBorder="1" applyAlignment="1">
      <alignment horizontal="center" vertical="center"/>
    </xf>
    <xf numFmtId="0" fontId="40" fillId="0" borderId="10" xfId="36" applyFont="1" applyFill="1" applyBorder="1" applyAlignment="1">
      <alignment horizontal="center" vertical="center"/>
    </xf>
    <xf numFmtId="0" fontId="5" fillId="0" borderId="10" xfId="58" applyFont="1" applyFill="1" applyBorder="1" applyAlignment="1">
      <alignment horizontal="left"/>
    </xf>
    <xf numFmtId="0" fontId="8" fillId="0" borderId="10" xfId="58" applyFont="1" applyFill="1" applyBorder="1" applyAlignment="1">
      <alignment horizontal="center" vertical="center"/>
    </xf>
    <xf numFmtId="167" fontId="8" fillId="0" borderId="10" xfId="58" applyNumberFormat="1" applyFont="1" applyFill="1" applyBorder="1" applyAlignment="1">
      <alignment horizontal="center" vertical="center"/>
    </xf>
    <xf numFmtId="166" fontId="8" fillId="0" borderId="10" xfId="58" applyNumberFormat="1" applyFont="1" applyFill="1" applyBorder="1" applyAlignment="1">
      <alignment horizontal="center" vertical="center" wrapText="1"/>
    </xf>
    <xf numFmtId="0" fontId="40" fillId="0" borderId="11" xfId="57" applyNumberFormat="1" applyFont="1" applyFill="1" applyBorder="1" applyAlignment="1">
      <alignment horizontal="center" vertical="center"/>
    </xf>
    <xf numFmtId="0" fontId="40" fillId="0" borderId="10" xfId="54" applyFont="1" applyFill="1" applyBorder="1" applyAlignment="1">
      <alignment horizontal="center" vertical="center"/>
    </xf>
    <xf numFmtId="0" fontId="5" fillId="0" borderId="0" xfId="58" applyFont="1" applyFill="1" applyBorder="1" applyAlignment="1">
      <alignment vertical="center"/>
    </xf>
    <xf numFmtId="166" fontId="5" fillId="0" borderId="0" xfId="58" applyNumberFormat="1" applyFont="1" applyFill="1" applyBorder="1" applyAlignment="1">
      <alignment horizontal="center" vertical="center"/>
    </xf>
    <xf numFmtId="166" fontId="5" fillId="0" borderId="0" xfId="58" applyNumberFormat="1" applyFont="1" applyFill="1" applyBorder="1" applyAlignment="1">
      <alignment horizontal="center" vertical="center" wrapText="1"/>
    </xf>
    <xf numFmtId="0" fontId="5" fillId="0" borderId="0" xfId="58" applyFont="1" applyFill="1" applyBorder="1" applyAlignment="1">
      <alignment horizontal="center" vertical="center" wrapText="1"/>
    </xf>
    <xf numFmtId="0" fontId="8" fillId="0" borderId="0" xfId="58" applyFont="1" applyFill="1" applyBorder="1" applyAlignment="1">
      <alignment horizontal="center" vertical="center" wrapText="1"/>
    </xf>
    <xf numFmtId="0" fontId="13" fillId="0" borderId="0" xfId="53" applyFont="1" applyBorder="1" applyAlignment="1" applyProtection="1">
      <alignment horizontal="left"/>
      <protection hidden="1"/>
    </xf>
    <xf numFmtId="0" fontId="7" fillId="0" borderId="0" xfId="58" applyFont="1" applyAlignment="1">
      <alignment horizontal="center" vertical="center" wrapText="1"/>
    </xf>
    <xf numFmtId="0" fontId="10" fillId="0" borderId="0" xfId="58" applyFont="1" applyAlignment="1">
      <alignment horizontal="center"/>
    </xf>
    <xf numFmtId="0" fontId="7" fillId="0" borderId="0" xfId="58" applyFont="1" applyAlignment="1" applyProtection="1">
      <alignment horizontal="center" vertical="center"/>
    </xf>
    <xf numFmtId="0" fontId="9" fillId="0" borderId="0" xfId="58" applyFont="1" applyAlignment="1" applyProtection="1">
      <alignment horizontal="center" vertical="center"/>
    </xf>
    <xf numFmtId="0" fontId="10" fillId="0" borderId="0" xfId="53" applyFont="1" applyProtection="1">
      <protection hidden="1"/>
    </xf>
    <xf numFmtId="0" fontId="10" fillId="0" borderId="0" xfId="53" applyFont="1" applyAlignment="1" applyProtection="1">
      <protection hidden="1"/>
    </xf>
    <xf numFmtId="0" fontId="7" fillId="0" borderId="0" xfId="58" applyFont="1" applyFill="1"/>
    <xf numFmtId="0" fontId="16" fillId="0" borderId="0" xfId="58" applyFont="1" applyFill="1"/>
    <xf numFmtId="4" fontId="40" fillId="0" borderId="10" xfId="58" applyNumberFormat="1" applyFont="1" applyFill="1" applyBorder="1" applyAlignment="1">
      <alignment horizontal="center" vertical="center"/>
    </xf>
    <xf numFmtId="4" fontId="41" fillId="0" borderId="10" xfId="58" applyNumberFormat="1" applyFont="1" applyFill="1" applyBorder="1" applyAlignment="1">
      <alignment horizontal="center" vertical="center"/>
    </xf>
    <xf numFmtId="0" fontId="41" fillId="0" borderId="10" xfId="58" applyFont="1" applyFill="1" applyBorder="1" applyAlignment="1">
      <alignment horizontal="center"/>
    </xf>
    <xf numFmtId="3" fontId="40" fillId="0" borderId="10" xfId="58" applyNumberFormat="1" applyFont="1" applyFill="1" applyBorder="1" applyAlignment="1">
      <alignment horizontal="center" vertical="center"/>
    </xf>
    <xf numFmtId="2" fontId="40" fillId="0" borderId="10" xfId="58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/>
    </xf>
    <xf numFmtId="2" fontId="41" fillId="0" borderId="10" xfId="58" applyNumberFormat="1" applyFont="1" applyFill="1" applyBorder="1" applyAlignment="1">
      <alignment horizontal="center" vertical="center"/>
    </xf>
    <xf numFmtId="168" fontId="40" fillId="0" borderId="10" xfId="58" applyNumberFormat="1" applyFont="1" applyFill="1" applyBorder="1" applyAlignment="1">
      <alignment horizontal="center" vertical="center" wrapText="1"/>
    </xf>
    <xf numFmtId="165" fontId="40" fillId="0" borderId="10" xfId="58" applyNumberFormat="1" applyFont="1" applyFill="1" applyBorder="1" applyAlignment="1">
      <alignment horizontal="center" vertical="center" wrapText="1"/>
    </xf>
    <xf numFmtId="168" fontId="10" fillId="0" borderId="10" xfId="58" applyNumberFormat="1" applyFont="1" applyFill="1" applyBorder="1" applyAlignment="1">
      <alignment horizontal="center" vertical="center"/>
    </xf>
    <xf numFmtId="166" fontId="10" fillId="0" borderId="10" xfId="58" applyNumberFormat="1" applyFont="1" applyFill="1" applyBorder="1" applyAlignment="1">
      <alignment horizontal="center" vertical="center"/>
    </xf>
    <xf numFmtId="165" fontId="13" fillId="0" borderId="10" xfId="58" applyNumberFormat="1" applyFont="1" applyFill="1" applyBorder="1" applyAlignment="1">
      <alignment horizontal="center" vertical="center" wrapText="1"/>
    </xf>
    <xf numFmtId="166" fontId="10" fillId="0" borderId="10" xfId="58" applyNumberFormat="1" applyFont="1" applyFill="1" applyBorder="1" applyAlignment="1">
      <alignment horizontal="center" vertical="center" wrapText="1"/>
    </xf>
    <xf numFmtId="0" fontId="42" fillId="0" borderId="10" xfId="6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/>
    </xf>
    <xf numFmtId="4" fontId="13" fillId="0" borderId="10" xfId="58" applyNumberFormat="1" applyFont="1" applyFill="1" applyBorder="1" applyAlignment="1">
      <alignment horizontal="center"/>
    </xf>
    <xf numFmtId="2" fontId="41" fillId="0" borderId="10" xfId="58" applyNumberFormat="1" applyFont="1" applyFill="1" applyBorder="1" applyAlignment="1">
      <alignment horizontal="center"/>
    </xf>
    <xf numFmtId="1" fontId="41" fillId="0" borderId="10" xfId="58" applyNumberFormat="1" applyFont="1" applyFill="1" applyBorder="1" applyAlignment="1">
      <alignment horizontal="center"/>
    </xf>
    <xf numFmtId="4" fontId="41" fillId="0" borderId="10" xfId="58" applyNumberFormat="1" applyFont="1" applyFill="1" applyBorder="1" applyAlignment="1">
      <alignment horizontal="center"/>
    </xf>
    <xf numFmtId="0" fontId="10" fillId="0" borderId="10" xfId="58" applyFont="1" applyFill="1" applyBorder="1" applyAlignment="1">
      <alignment horizontal="center" vertical="center" wrapText="1"/>
    </xf>
    <xf numFmtId="0" fontId="45" fillId="0" borderId="10" xfId="58" applyFont="1" applyFill="1" applyBorder="1" applyAlignment="1">
      <alignment horizontal="center"/>
    </xf>
    <xf numFmtId="0" fontId="13" fillId="0" borderId="10" xfId="58" applyFont="1" applyFill="1" applyBorder="1" applyAlignment="1">
      <alignment horizontal="left"/>
    </xf>
    <xf numFmtId="0" fontId="10" fillId="0" borderId="10" xfId="58" applyFont="1" applyFill="1" applyBorder="1" applyAlignment="1">
      <alignment horizontal="center" vertical="center"/>
    </xf>
    <xf numFmtId="167" fontId="10" fillId="0" borderId="10" xfId="58" applyNumberFormat="1" applyFont="1" applyFill="1" applyBorder="1" applyAlignment="1">
      <alignment horizontal="center" vertical="center"/>
    </xf>
    <xf numFmtId="0" fontId="10" fillId="24" borderId="10" xfId="34" applyFont="1" applyFill="1" applyBorder="1" applyAlignment="1" applyProtection="1">
      <alignment horizontal="center" vertical="top" wrapText="1"/>
    </xf>
    <xf numFmtId="166" fontId="43" fillId="25" borderId="10" xfId="58" applyNumberFormat="1" applyFont="1" applyFill="1" applyBorder="1" applyAlignment="1">
      <alignment horizontal="center" vertical="center" wrapText="1"/>
    </xf>
    <xf numFmtId="165" fontId="44" fillId="25" borderId="10" xfId="58" applyNumberFormat="1" applyFont="1" applyFill="1" applyBorder="1" applyAlignment="1">
      <alignment horizontal="center" vertical="center" wrapText="1"/>
    </xf>
    <xf numFmtId="166" fontId="44" fillId="25" borderId="10" xfId="58" applyNumberFormat="1" applyFont="1" applyFill="1" applyBorder="1" applyAlignment="1">
      <alignment horizontal="center" vertical="center" wrapText="1"/>
    </xf>
    <xf numFmtId="4" fontId="44" fillId="25" borderId="10" xfId="58" applyNumberFormat="1" applyFont="1" applyFill="1" applyBorder="1" applyAlignment="1">
      <alignment horizontal="center" vertical="center" wrapText="1"/>
    </xf>
    <xf numFmtId="166" fontId="44" fillId="25" borderId="10" xfId="58" applyNumberFormat="1" applyFont="1" applyFill="1" applyBorder="1" applyAlignment="1">
      <alignment horizontal="center" vertical="center"/>
    </xf>
    <xf numFmtId="0" fontId="5" fillId="25" borderId="10" xfId="58" applyFont="1" applyFill="1" applyBorder="1" applyAlignment="1">
      <alignment horizontal="center" vertical="center" wrapText="1"/>
    </xf>
    <xf numFmtId="0" fontId="8" fillId="25" borderId="10" xfId="58" applyFont="1" applyFill="1" applyBorder="1" applyAlignment="1">
      <alignment horizontal="center" vertical="center" wrapText="1"/>
    </xf>
    <xf numFmtId="166" fontId="43" fillId="25" borderId="10" xfId="58" applyNumberFormat="1" applyFont="1" applyFill="1" applyBorder="1" applyAlignment="1">
      <alignment horizontal="center" vertical="center"/>
    </xf>
    <xf numFmtId="165" fontId="46" fillId="25" borderId="10" xfId="58" applyNumberFormat="1" applyFont="1" applyFill="1" applyBorder="1" applyAlignment="1">
      <alignment horizontal="center" vertical="center" wrapText="1"/>
    </xf>
    <xf numFmtId="4" fontId="46" fillId="25" borderId="10" xfId="58" applyNumberFormat="1" applyFont="1" applyFill="1" applyBorder="1" applyAlignment="1">
      <alignment horizontal="center" vertical="center"/>
    </xf>
    <xf numFmtId="10" fontId="40" fillId="0" borderId="10" xfId="58" applyNumberFormat="1" applyFont="1" applyFill="1" applyBorder="1" applyAlignment="1">
      <alignment horizontal="center" vertical="center"/>
    </xf>
    <xf numFmtId="165" fontId="10" fillId="0" borderId="10" xfId="58" applyNumberFormat="1" applyFont="1" applyFill="1" applyBorder="1" applyAlignment="1">
      <alignment horizontal="center" vertical="center" wrapText="1"/>
    </xf>
    <xf numFmtId="0" fontId="48" fillId="0" borderId="0" xfId="58" applyFont="1" applyAlignment="1">
      <alignment horizontal="center"/>
    </xf>
    <xf numFmtId="0" fontId="40" fillId="0" borderId="10" xfId="39" applyNumberFormat="1" applyFont="1" applyFill="1" applyBorder="1" applyAlignment="1">
      <alignment horizontal="center" vertical="center" wrapText="1"/>
    </xf>
    <xf numFmtId="166" fontId="40" fillId="0" borderId="10" xfId="58" applyNumberFormat="1" applyFont="1" applyFill="1" applyBorder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 wrapText="1"/>
    </xf>
    <xf numFmtId="0" fontId="14" fillId="0" borderId="0" xfId="58" applyFont="1" applyFill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/>
    </xf>
    <xf numFmtId="0" fontId="11" fillId="25" borderId="10" xfId="58" applyFont="1" applyFill="1" applyBorder="1" applyAlignment="1">
      <alignment horizontal="center" vertical="center" wrapText="1"/>
    </xf>
    <xf numFmtId="0" fontId="40" fillId="0" borderId="10" xfId="58" applyFont="1" applyFill="1" applyBorder="1" applyAlignment="1">
      <alignment horizontal="center" vertical="center" wrapText="1"/>
    </xf>
    <xf numFmtId="1" fontId="40" fillId="0" borderId="10" xfId="58" applyNumberFormat="1" applyFont="1" applyFill="1" applyBorder="1" applyAlignment="1">
      <alignment horizontal="center" vertical="center"/>
    </xf>
    <xf numFmtId="0" fontId="10" fillId="0" borderId="10" xfId="58" applyFont="1" applyFill="1" applyBorder="1" applyAlignment="1">
      <alignment horizontal="center" vertical="center" wrapText="1"/>
    </xf>
    <xf numFmtId="0" fontId="5" fillId="0" borderId="11" xfId="58" applyFont="1" applyFill="1" applyBorder="1" applyAlignment="1">
      <alignment horizontal="left" vertical="center"/>
    </xf>
    <xf numFmtId="0" fontId="5" fillId="0" borderId="16" xfId="58" applyFont="1" applyFill="1" applyBorder="1" applyAlignment="1">
      <alignment horizontal="left" vertical="center"/>
    </xf>
    <xf numFmtId="2" fontId="40" fillId="0" borderId="10" xfId="52" applyNumberFormat="1" applyFont="1" applyFill="1" applyBorder="1" applyAlignment="1" applyProtection="1">
      <alignment horizontal="center" vertical="center" wrapText="1"/>
    </xf>
    <xf numFmtId="4" fontId="41" fillId="0" borderId="11" xfId="52" applyNumberFormat="1" applyFont="1" applyFill="1" applyBorder="1" applyAlignment="1" applyProtection="1">
      <alignment horizontal="center" vertical="center" wrapText="1"/>
    </xf>
    <xf numFmtId="2" fontId="40" fillId="0" borderId="10" xfId="54" applyNumberFormat="1" applyFont="1" applyFill="1" applyBorder="1" applyAlignment="1">
      <alignment horizontal="center" vertical="center"/>
    </xf>
    <xf numFmtId="1" fontId="40" fillId="0" borderId="10" xfId="54" applyNumberFormat="1" applyFont="1" applyFill="1" applyBorder="1" applyAlignment="1">
      <alignment horizontal="center" vertical="center"/>
    </xf>
    <xf numFmtId="0" fontId="12" fillId="0" borderId="12" xfId="58" applyFont="1" applyFill="1" applyBorder="1" applyAlignment="1">
      <alignment horizontal="center"/>
    </xf>
    <xf numFmtId="0" fontId="12" fillId="0" borderId="10" xfId="58" applyFont="1" applyFill="1" applyBorder="1" applyAlignment="1">
      <alignment horizontal="left"/>
    </xf>
    <xf numFmtId="49" fontId="40" fillId="0" borderId="10" xfId="40" applyNumberFormat="1" applyFont="1" applyFill="1" applyBorder="1" applyAlignment="1">
      <alignment horizontal="center" vertical="center"/>
    </xf>
    <xf numFmtId="0" fontId="10" fillId="0" borderId="16" xfId="61" applyFont="1" applyFill="1" applyBorder="1" applyAlignment="1">
      <alignment horizontal="left" vertical="center" wrapText="1"/>
    </xf>
    <xf numFmtId="0" fontId="40" fillId="0" borderId="10" xfId="65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center" vertical="center" wrapText="1"/>
    </xf>
    <xf numFmtId="2" fontId="40" fillId="0" borderId="10" xfId="40" applyNumberFormat="1" applyFont="1" applyFill="1" applyBorder="1" applyAlignment="1">
      <alignment horizontal="center" vertical="center"/>
    </xf>
    <xf numFmtId="2" fontId="41" fillId="0" borderId="11" xfId="40" applyNumberFormat="1" applyFont="1" applyFill="1" applyBorder="1" applyAlignment="1">
      <alignment horizontal="center" vertical="center"/>
    </xf>
    <xf numFmtId="1" fontId="40" fillId="0" borderId="10" xfId="40" applyNumberFormat="1" applyFont="1" applyFill="1" applyBorder="1" applyAlignment="1">
      <alignment horizontal="center" vertical="center"/>
    </xf>
    <xf numFmtId="10" fontId="41" fillId="0" borderId="10" xfId="64" applyNumberFormat="1" applyFont="1" applyFill="1" applyBorder="1" applyAlignment="1">
      <alignment horizontal="center" vertical="center"/>
    </xf>
    <xf numFmtId="10" fontId="10" fillId="0" borderId="10" xfId="64" applyNumberFormat="1" applyFont="1" applyFill="1" applyBorder="1" applyAlignment="1">
      <alignment horizontal="center" vertical="center" wrapText="1"/>
    </xf>
    <xf numFmtId="165" fontId="8" fillId="0" borderId="10" xfId="58" applyNumberFormat="1" applyFont="1" applyFill="1" applyBorder="1" applyAlignment="1">
      <alignment horizontal="center" vertical="center" wrapText="1"/>
    </xf>
    <xf numFmtId="1" fontId="40" fillId="0" borderId="10" xfId="39" applyNumberFormat="1" applyFont="1" applyFill="1" applyBorder="1" applyAlignment="1">
      <alignment horizontal="center" vertical="center" wrapText="1"/>
    </xf>
    <xf numFmtId="4" fontId="13" fillId="0" borderId="10" xfId="58" applyNumberFormat="1" applyFont="1" applyFill="1" applyBorder="1" applyAlignment="1">
      <alignment horizontal="center" vertical="center"/>
    </xf>
    <xf numFmtId="2" fontId="13" fillId="0" borderId="10" xfId="58" applyNumberFormat="1" applyFont="1" applyFill="1" applyBorder="1" applyAlignment="1">
      <alignment horizontal="center"/>
    </xf>
    <xf numFmtId="0" fontId="10" fillId="0" borderId="10" xfId="58" applyFont="1" applyFill="1" applyBorder="1" applyAlignment="1">
      <alignment horizontal="center"/>
    </xf>
    <xf numFmtId="3" fontId="13" fillId="0" borderId="10" xfId="58" applyNumberFormat="1" applyFont="1" applyFill="1" applyBorder="1" applyAlignment="1">
      <alignment horizontal="center"/>
    </xf>
    <xf numFmtId="0" fontId="49" fillId="0" borderId="10" xfId="54" applyFont="1" applyFill="1" applyBorder="1" applyAlignment="1">
      <alignment horizontal="center" vertical="center"/>
    </xf>
    <xf numFmtId="2" fontId="49" fillId="0" borderId="10" xfId="61" applyNumberFormat="1" applyFont="1" applyFill="1" applyBorder="1" applyAlignment="1">
      <alignment horizontal="center" vertical="center"/>
    </xf>
    <xf numFmtId="0" fontId="53" fillId="0" borderId="10" xfId="36" applyFont="1" applyFill="1" applyBorder="1" applyAlignment="1">
      <alignment vertical="center" wrapText="1"/>
    </xf>
    <xf numFmtId="2" fontId="49" fillId="0" borderId="10" xfId="67" applyNumberFormat="1" applyFont="1" applyFill="1" applyBorder="1" applyAlignment="1">
      <alignment horizontal="center" vertical="center"/>
    </xf>
    <xf numFmtId="0" fontId="49" fillId="0" borderId="10" xfId="67" applyFont="1" applyFill="1" applyBorder="1" applyAlignment="1">
      <alignment horizontal="center" vertical="center"/>
    </xf>
    <xf numFmtId="2" fontId="49" fillId="0" borderId="10" xfId="63" applyNumberFormat="1" applyFont="1" applyFill="1" applyBorder="1" applyAlignment="1">
      <alignment horizontal="center" vertical="center"/>
    </xf>
    <xf numFmtId="0" fontId="49" fillId="0" borderId="10" xfId="54" applyFont="1" applyFill="1" applyBorder="1" applyAlignment="1">
      <alignment horizontal="center" vertical="center" wrapText="1"/>
    </xf>
    <xf numFmtId="2" fontId="49" fillId="0" borderId="10" xfId="54" applyNumberFormat="1" applyFont="1" applyFill="1" applyBorder="1" applyAlignment="1">
      <alignment horizontal="center" vertical="center" wrapText="1"/>
    </xf>
    <xf numFmtId="167" fontId="7" fillId="0" borderId="0" xfId="58" applyNumberFormat="1" applyFont="1" applyAlignment="1" applyProtection="1">
      <alignment horizontal="center" vertical="center"/>
    </xf>
    <xf numFmtId="0" fontId="10" fillId="0" borderId="0" xfId="53" applyFont="1" applyAlignment="1" applyProtection="1">
      <alignment horizontal="left"/>
      <protection hidden="1"/>
    </xf>
    <xf numFmtId="169" fontId="40" fillId="0" borderId="10" xfId="54" applyNumberFormat="1" applyFont="1" applyFill="1" applyBorder="1" applyAlignment="1">
      <alignment horizontal="center" vertical="center" wrapText="1"/>
    </xf>
    <xf numFmtId="3" fontId="13" fillId="0" borderId="10" xfId="58" applyNumberFormat="1" applyFont="1" applyFill="1" applyBorder="1" applyAlignment="1">
      <alignment horizontal="center" vertical="center"/>
    </xf>
    <xf numFmtId="2" fontId="40" fillId="0" borderId="10" xfId="54" applyNumberFormat="1" applyFont="1" applyFill="1" applyBorder="1" applyAlignment="1">
      <alignment horizontal="center" vertical="center" wrapText="1"/>
    </xf>
    <xf numFmtId="49" fontId="40" fillId="0" borderId="10" xfId="36" applyNumberFormat="1" applyFont="1" applyFill="1" applyBorder="1" applyAlignment="1">
      <alignment horizontal="center" vertical="center"/>
    </xf>
    <xf numFmtId="0" fontId="41" fillId="0" borderId="10" xfId="58" applyFont="1" applyFill="1" applyBorder="1" applyAlignment="1">
      <alignment horizontal="center" vertical="center" wrapText="1"/>
    </xf>
    <xf numFmtId="0" fontId="5" fillId="0" borderId="10" xfId="58" applyFont="1" applyFill="1" applyBorder="1" applyAlignment="1">
      <alignment horizontal="center" vertical="center" wrapText="1"/>
    </xf>
    <xf numFmtId="0" fontId="55" fillId="0" borderId="10" xfId="56" applyFont="1" applyFill="1" applyBorder="1" applyAlignment="1">
      <alignment horizontal="center" vertical="center" wrapText="1"/>
    </xf>
    <xf numFmtId="0" fontId="55" fillId="0" borderId="10" xfId="40" applyFont="1" applyFill="1" applyBorder="1" applyAlignment="1">
      <alignment horizontal="left" vertical="center" wrapText="1"/>
    </xf>
    <xf numFmtId="0" fontId="55" fillId="0" borderId="10" xfId="51" applyFont="1" applyFill="1" applyBorder="1" applyAlignment="1">
      <alignment horizontal="center" vertical="center"/>
    </xf>
    <xf numFmtId="4" fontId="40" fillId="0" borderId="11" xfId="54" applyNumberFormat="1" applyFont="1" applyFill="1" applyBorder="1" applyAlignment="1">
      <alignment horizontal="center" vertical="center" wrapText="1"/>
    </xf>
    <xf numFmtId="4" fontId="41" fillId="0" borderId="11" xfId="54" applyNumberFormat="1" applyFont="1" applyFill="1" applyBorder="1" applyAlignment="1">
      <alignment horizontal="center" vertical="center" wrapText="1"/>
    </xf>
    <xf numFmtId="2" fontId="40" fillId="0" borderId="10" xfId="36" applyNumberFormat="1" applyFont="1" applyFill="1" applyBorder="1" applyAlignment="1">
      <alignment horizontal="center" vertical="center"/>
    </xf>
    <xf numFmtId="1" fontId="40" fillId="0" borderId="10" xfId="54" applyNumberFormat="1" applyFont="1" applyFill="1" applyBorder="1" applyAlignment="1">
      <alignment horizontal="center" vertical="center" wrapText="1"/>
    </xf>
    <xf numFmtId="2" fontId="40" fillId="0" borderId="10" xfId="40" applyNumberFormat="1" applyFont="1" applyFill="1" applyBorder="1" applyAlignment="1">
      <alignment horizontal="center" vertical="center" wrapText="1"/>
    </xf>
    <xf numFmtId="1" fontId="40" fillId="0" borderId="10" xfId="40" applyNumberFormat="1" applyFont="1" applyFill="1" applyBorder="1" applyAlignment="1">
      <alignment horizontal="center" vertical="center" wrapText="1"/>
    </xf>
    <xf numFmtId="3" fontId="40" fillId="0" borderId="10" xfId="35" applyNumberFormat="1" applyFont="1" applyFill="1" applyBorder="1" applyAlignment="1">
      <alignment horizontal="center" vertical="center"/>
    </xf>
    <xf numFmtId="2" fontId="40" fillId="0" borderId="10" xfId="67" applyNumberFormat="1" applyFont="1" applyFill="1" applyBorder="1" applyAlignment="1">
      <alignment horizontal="center" vertical="center"/>
    </xf>
    <xf numFmtId="0" fontId="40" fillId="0" borderId="10" xfId="67" applyFont="1" applyFill="1" applyBorder="1" applyAlignment="1">
      <alignment horizontal="center" vertical="center"/>
    </xf>
    <xf numFmtId="0" fontId="16" fillId="26" borderId="0" xfId="58" applyFont="1" applyFill="1"/>
    <xf numFmtId="0" fontId="8" fillId="26" borderId="0" xfId="58" applyFont="1" applyFill="1"/>
    <xf numFmtId="0" fontId="10" fillId="0" borderId="10" xfId="58" applyFont="1" applyFill="1" applyBorder="1" applyAlignment="1">
      <alignment horizontal="center" vertical="center" wrapText="1"/>
    </xf>
    <xf numFmtId="0" fontId="7" fillId="0" borderId="0" xfId="58" applyFont="1" applyFill="1" applyAlignment="1" applyProtection="1">
      <alignment horizontal="center" vertical="center"/>
    </xf>
    <xf numFmtId="0" fontId="45" fillId="0" borderId="10" xfId="58" applyFont="1" applyFill="1" applyBorder="1" applyAlignment="1">
      <alignment horizontal="center" vertical="center" wrapText="1"/>
    </xf>
    <xf numFmtId="0" fontId="8" fillId="0" borderId="12" xfId="58" applyFont="1" applyFill="1" applyBorder="1" applyAlignment="1">
      <alignment horizontal="center" vertical="center" wrapText="1"/>
    </xf>
    <xf numFmtId="0" fontId="12" fillId="0" borderId="10" xfId="58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4" fontId="8" fillId="0" borderId="0" xfId="34" applyNumberFormat="1" applyFont="1" applyFill="1" applyBorder="1" applyAlignment="1" applyProtection="1">
      <alignment horizontal="center" vertical="center"/>
    </xf>
    <xf numFmtId="2" fontId="4" fillId="0" borderId="0" xfId="34" applyNumberFormat="1" applyFont="1" applyBorder="1" applyProtection="1"/>
    <xf numFmtId="4" fontId="8" fillId="0" borderId="0" xfId="34" applyNumberFormat="1" applyFont="1" applyFill="1" applyBorder="1" applyAlignment="1" applyProtection="1">
      <alignment horizontal="center" vertical="center"/>
      <protection locked="0"/>
    </xf>
    <xf numFmtId="4" fontId="4" fillId="0" borderId="0" xfId="34" applyNumberFormat="1" applyFont="1" applyBorder="1" applyProtection="1"/>
    <xf numFmtId="164" fontId="40" fillId="0" borderId="10" xfId="36" applyNumberFormat="1" applyFont="1" applyFill="1" applyBorder="1" applyAlignment="1">
      <alignment horizontal="center" vertical="center"/>
    </xf>
    <xf numFmtId="0" fontId="13" fillId="0" borderId="10" xfId="36" applyFont="1" applyFill="1" applyBorder="1" applyAlignment="1">
      <alignment horizontal="center" vertical="center"/>
    </xf>
    <xf numFmtId="2" fontId="13" fillId="0" borderId="10" xfId="52" applyNumberFormat="1" applyFont="1" applyFill="1" applyBorder="1" applyAlignment="1" applyProtection="1">
      <alignment horizontal="center" vertical="center" wrapText="1"/>
    </xf>
    <xf numFmtId="3" fontId="13" fillId="0" borderId="10" xfId="54" applyNumberFormat="1" applyFont="1" applyFill="1" applyBorder="1" applyAlignment="1">
      <alignment horizontal="center" vertical="center" wrapText="1"/>
    </xf>
    <xf numFmtId="4" fontId="13" fillId="0" borderId="11" xfId="52" applyNumberFormat="1" applyFont="1" applyFill="1" applyBorder="1" applyAlignment="1" applyProtection="1">
      <alignment horizontal="center" vertical="center" wrapText="1"/>
    </xf>
    <xf numFmtId="3" fontId="13" fillId="0" borderId="10" xfId="52" applyNumberFormat="1" applyFont="1" applyFill="1" applyBorder="1" applyAlignment="1" applyProtection="1">
      <alignment horizontal="center" vertical="center" wrapText="1"/>
    </xf>
    <xf numFmtId="49" fontId="13" fillId="0" borderId="10" xfId="36" applyNumberFormat="1" applyFont="1" applyFill="1" applyBorder="1" applyAlignment="1">
      <alignment horizontal="center" vertical="center"/>
    </xf>
    <xf numFmtId="2" fontId="13" fillId="0" borderId="10" xfId="40" applyNumberFormat="1" applyFont="1" applyFill="1" applyBorder="1" applyAlignment="1">
      <alignment horizontal="center" vertical="center" wrapText="1"/>
    </xf>
    <xf numFmtId="1" fontId="13" fillId="0" borderId="10" xfId="40" applyNumberFormat="1" applyFont="1" applyFill="1" applyBorder="1" applyAlignment="1">
      <alignment horizontal="center" vertical="center" wrapText="1"/>
    </xf>
    <xf numFmtId="1" fontId="13" fillId="0" borderId="10" xfId="58" applyNumberFormat="1" applyFont="1" applyFill="1" applyBorder="1" applyAlignment="1">
      <alignment horizontal="center" vertical="center"/>
    </xf>
    <xf numFmtId="2" fontId="13" fillId="0" borderId="10" xfId="58" applyNumberFormat="1" applyFont="1" applyFill="1" applyBorder="1" applyAlignment="1">
      <alignment horizontal="center" vertical="center"/>
    </xf>
    <xf numFmtId="4" fontId="13" fillId="0" borderId="11" xfId="54" applyNumberFormat="1" applyFont="1" applyFill="1" applyBorder="1" applyAlignment="1">
      <alignment horizontal="center" vertical="center" wrapText="1"/>
    </xf>
    <xf numFmtId="0" fontId="49" fillId="0" borderId="10" xfId="51" applyFont="1" applyFill="1" applyBorder="1" applyAlignment="1">
      <alignment horizontal="center" vertical="center"/>
    </xf>
    <xf numFmtId="2" fontId="13" fillId="0" borderId="10" xfId="36" applyNumberFormat="1" applyFont="1" applyFill="1" applyBorder="1" applyAlignment="1">
      <alignment horizontal="center" vertical="center"/>
    </xf>
    <xf numFmtId="1" fontId="13" fillId="0" borderId="10" xfId="54" applyNumberFormat="1" applyFont="1" applyFill="1" applyBorder="1" applyAlignment="1">
      <alignment horizontal="center" vertical="center" wrapText="1"/>
    </xf>
    <xf numFmtId="2" fontId="13" fillId="0" borderId="10" xfId="54" applyNumberFormat="1" applyFont="1" applyFill="1" applyBorder="1" applyAlignment="1">
      <alignment horizontal="center" vertical="center" wrapText="1"/>
    </xf>
    <xf numFmtId="4" fontId="13" fillId="0" borderId="10" xfId="35" applyNumberFormat="1" applyFont="1" applyFill="1" applyBorder="1" applyAlignment="1" applyProtection="1">
      <alignment horizontal="center" vertical="center"/>
      <protection locked="0"/>
    </xf>
    <xf numFmtId="0" fontId="13" fillId="0" borderId="10" xfId="40" applyFont="1" applyFill="1" applyBorder="1" applyAlignment="1">
      <alignment horizontal="left" vertical="center" wrapText="1"/>
    </xf>
    <xf numFmtId="0" fontId="13" fillId="0" borderId="10" xfId="58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wrapText="1"/>
    </xf>
    <xf numFmtId="169" fontId="13" fillId="0" borderId="10" xfId="58" applyNumberFormat="1" applyFont="1" applyFill="1" applyBorder="1" applyAlignment="1">
      <alignment horizontal="center" vertical="center"/>
    </xf>
    <xf numFmtId="0" fontId="40" fillId="0" borderId="10" xfId="40" applyFont="1" applyFill="1" applyBorder="1" applyAlignment="1">
      <alignment horizontal="center" vertical="center" wrapText="1"/>
    </xf>
    <xf numFmtId="0" fontId="10" fillId="0" borderId="10" xfId="36" applyFont="1" applyFill="1" applyBorder="1" applyAlignment="1">
      <alignment horizontal="left" vertical="center" wrapText="1"/>
    </xf>
    <xf numFmtId="2" fontId="40" fillId="0" borderId="10" xfId="68" applyNumberFormat="1" applyFont="1" applyFill="1" applyBorder="1" applyAlignment="1">
      <alignment horizontal="center" vertical="center"/>
    </xf>
    <xf numFmtId="0" fontId="40" fillId="0" borderId="10" xfId="36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49" fontId="40" fillId="0" borderId="10" xfId="57" applyNumberFormat="1" applyFont="1" applyFill="1" applyBorder="1" applyAlignment="1">
      <alignment horizontal="center" vertical="center"/>
    </xf>
    <xf numFmtId="0" fontId="10" fillId="0" borderId="10" xfId="36" applyFont="1" applyFill="1" applyBorder="1" applyAlignment="1">
      <alignment vertical="center" wrapText="1"/>
    </xf>
    <xf numFmtId="0" fontId="58" fillId="0" borderId="10" xfId="0" applyFont="1" applyBorder="1" applyAlignment="1">
      <alignment wrapText="1"/>
    </xf>
    <xf numFmtId="10" fontId="41" fillId="0" borderId="10" xfId="55" applyNumberFormat="1" applyFont="1" applyFill="1" applyBorder="1" applyAlignment="1">
      <alignment horizontal="center" vertical="center"/>
    </xf>
    <xf numFmtId="10" fontId="40" fillId="0" borderId="10" xfId="55" applyNumberFormat="1" applyFont="1" applyFill="1" applyBorder="1" applyAlignment="1">
      <alignment horizontal="center" vertical="center"/>
    </xf>
    <xf numFmtId="2" fontId="42" fillId="0" borderId="10" xfId="57" applyNumberFormat="1" applyFont="1" applyFill="1" applyBorder="1" applyAlignment="1">
      <alignment horizontal="center" vertical="center"/>
    </xf>
    <xf numFmtId="0" fontId="44" fillId="25" borderId="10" xfId="58" applyFont="1" applyFill="1" applyBorder="1" applyAlignment="1">
      <alignment horizontal="center" vertical="center" wrapText="1"/>
    </xf>
    <xf numFmtId="0" fontId="59" fillId="25" borderId="10" xfId="58" applyFont="1" applyFill="1" applyBorder="1" applyAlignment="1">
      <alignment horizontal="center" vertical="center" wrapText="1"/>
    </xf>
    <xf numFmtId="169" fontId="13" fillId="0" borderId="10" xfId="54" applyNumberFormat="1" applyFont="1" applyFill="1" applyBorder="1" applyAlignment="1">
      <alignment horizontal="center" vertical="center" wrapText="1"/>
    </xf>
    <xf numFmtId="169" fontId="40" fillId="0" borderId="10" xfId="52" applyNumberFormat="1" applyFont="1" applyFill="1" applyBorder="1" applyAlignment="1" applyProtection="1">
      <alignment horizontal="center" vertical="center" wrapText="1"/>
    </xf>
    <xf numFmtId="3" fontId="41" fillId="0" borderId="10" xfId="58" applyNumberFormat="1" applyFont="1" applyFill="1" applyBorder="1" applyAlignment="1">
      <alignment horizontal="center" vertical="center"/>
    </xf>
    <xf numFmtId="170" fontId="41" fillId="0" borderId="10" xfId="58" applyNumberFormat="1" applyFont="1" applyFill="1" applyBorder="1" applyAlignment="1">
      <alignment horizontal="center" vertical="center"/>
    </xf>
    <xf numFmtId="3" fontId="13" fillId="0" borderId="10" xfId="35" applyNumberFormat="1" applyFont="1" applyFill="1" applyBorder="1" applyAlignment="1" applyProtection="1">
      <alignment horizontal="center" vertical="center"/>
      <protection locked="0"/>
    </xf>
    <xf numFmtId="170" fontId="40" fillId="0" borderId="10" xfId="58" applyNumberFormat="1" applyFont="1" applyFill="1" applyBorder="1" applyAlignment="1">
      <alignment horizontal="center" vertical="center"/>
    </xf>
    <xf numFmtId="0" fontId="61" fillId="0" borderId="10" xfId="54" applyFont="1" applyFill="1" applyBorder="1" applyAlignment="1">
      <alignment horizontal="center" vertical="center" wrapText="1"/>
    </xf>
    <xf numFmtId="4" fontId="10" fillId="0" borderId="10" xfId="58" applyNumberFormat="1" applyFont="1" applyFill="1" applyBorder="1" applyAlignment="1">
      <alignment horizontal="center" vertical="center"/>
    </xf>
    <xf numFmtId="165" fontId="8" fillId="0" borderId="0" xfId="58" applyNumberFormat="1" applyFont="1" applyFill="1"/>
    <xf numFmtId="0" fontId="40" fillId="0" borderId="10" xfId="58" applyNumberFormat="1" applyFont="1" applyFill="1" applyBorder="1" applyAlignment="1">
      <alignment horizontal="center" vertical="center"/>
    </xf>
    <xf numFmtId="4" fontId="40" fillId="0" borderId="11" xfId="58" applyNumberFormat="1" applyFont="1" applyFill="1" applyBorder="1" applyAlignment="1">
      <alignment horizontal="center" vertical="center"/>
    </xf>
    <xf numFmtId="169" fontId="40" fillId="0" borderId="10" xfId="36" applyNumberFormat="1" applyFont="1" applyFill="1" applyBorder="1" applyAlignment="1">
      <alignment horizontal="center" vertical="center"/>
    </xf>
    <xf numFmtId="1" fontId="40" fillId="0" borderId="10" xfId="36" applyNumberFormat="1" applyFont="1" applyFill="1" applyBorder="1" applyAlignment="1">
      <alignment horizontal="center" vertical="center"/>
    </xf>
    <xf numFmtId="49" fontId="41" fillId="0" borderId="10" xfId="36" applyNumberFormat="1" applyFont="1" applyFill="1" applyBorder="1" applyAlignment="1">
      <alignment horizontal="center" vertical="center"/>
    </xf>
    <xf numFmtId="0" fontId="41" fillId="0" borderId="10" xfId="36" applyFont="1" applyFill="1" applyBorder="1" applyAlignment="1">
      <alignment horizontal="center" vertical="center"/>
    </xf>
    <xf numFmtId="2" fontId="41" fillId="0" borderId="10" xfId="36" applyNumberFormat="1" applyFont="1" applyFill="1" applyBorder="1" applyAlignment="1">
      <alignment horizontal="center" vertical="center"/>
    </xf>
    <xf numFmtId="169" fontId="41" fillId="0" borderId="10" xfId="54" applyNumberFormat="1" applyFont="1" applyFill="1" applyBorder="1" applyAlignment="1">
      <alignment horizontal="center" vertical="center" wrapText="1"/>
    </xf>
    <xf numFmtId="2" fontId="41" fillId="0" borderId="10" xfId="52" applyNumberFormat="1" applyFont="1" applyFill="1" applyBorder="1" applyAlignment="1" applyProtection="1">
      <alignment horizontal="center" vertical="center" wrapText="1"/>
    </xf>
    <xf numFmtId="0" fontId="5" fillId="0" borderId="0" xfId="58" applyFont="1" applyFill="1" applyAlignment="1">
      <alignment horizontal="center" vertical="center" wrapText="1"/>
    </xf>
    <xf numFmtId="0" fontId="41" fillId="0" borderId="10" xfId="40" applyFont="1" applyFill="1" applyBorder="1" applyAlignment="1">
      <alignment horizontal="left" vertical="center" wrapText="1"/>
    </xf>
    <xf numFmtId="2" fontId="41" fillId="0" borderId="10" xfId="54" applyNumberFormat="1" applyFont="1" applyFill="1" applyBorder="1" applyAlignment="1">
      <alignment horizontal="center" vertical="center" wrapText="1"/>
    </xf>
    <xf numFmtId="169" fontId="41" fillId="0" borderId="10" xfId="54" applyNumberFormat="1" applyFont="1" applyFill="1" applyBorder="1" applyAlignment="1">
      <alignment horizontal="center" vertical="center"/>
    </xf>
    <xf numFmtId="0" fontId="54" fillId="0" borderId="10" xfId="51" applyFont="1" applyFill="1" applyBorder="1" applyAlignment="1">
      <alignment horizontal="center" vertical="center"/>
    </xf>
    <xf numFmtId="169" fontId="41" fillId="0" borderId="11" xfId="52" applyNumberFormat="1" applyFont="1" applyFill="1" applyBorder="1" applyAlignment="1" applyProtection="1">
      <alignment horizontal="center" vertical="center" wrapText="1"/>
    </xf>
    <xf numFmtId="169" fontId="41" fillId="0" borderId="10" xfId="52" applyNumberFormat="1" applyFont="1" applyFill="1" applyBorder="1" applyAlignment="1" applyProtection="1">
      <alignment horizontal="center" vertical="center" wrapText="1"/>
    </xf>
    <xf numFmtId="170" fontId="41" fillId="0" borderId="11" xfId="54" applyNumberFormat="1" applyFont="1" applyFill="1" applyBorder="1" applyAlignment="1">
      <alignment horizontal="center" vertical="center" wrapText="1"/>
    </xf>
    <xf numFmtId="169" fontId="41" fillId="0" borderId="10" xfId="36" applyNumberFormat="1" applyFont="1" applyFill="1" applyBorder="1" applyAlignment="1">
      <alignment horizontal="center" vertical="center"/>
    </xf>
    <xf numFmtId="2" fontId="40" fillId="0" borderId="15" xfId="68" applyNumberFormat="1" applyFont="1" applyFill="1" applyBorder="1" applyAlignment="1" applyProtection="1">
      <alignment horizontal="center" vertical="center" wrapText="1"/>
    </xf>
    <xf numFmtId="169" fontId="40" fillId="0" borderId="15" xfId="68" applyNumberFormat="1" applyFont="1" applyFill="1" applyBorder="1" applyAlignment="1" applyProtection="1">
      <alignment horizontal="center" vertical="center" wrapText="1"/>
    </xf>
    <xf numFmtId="1" fontId="40" fillId="0" borderId="15" xfId="68" applyNumberFormat="1" applyFont="1" applyFill="1" applyBorder="1" applyAlignment="1" applyProtection="1">
      <alignment horizontal="center" vertical="center" wrapText="1"/>
    </xf>
    <xf numFmtId="169" fontId="49" fillId="0" borderId="15" xfId="68" applyNumberFormat="1" applyFont="1" applyFill="1" applyBorder="1" applyAlignment="1" applyProtection="1">
      <alignment horizontal="center" vertical="center" wrapText="1"/>
    </xf>
    <xf numFmtId="2" fontId="49" fillId="0" borderId="15" xfId="68" applyNumberFormat="1" applyFont="1" applyFill="1" applyBorder="1" applyAlignment="1" applyProtection="1">
      <alignment horizontal="center" vertical="center" wrapText="1"/>
    </xf>
    <xf numFmtId="169" fontId="40" fillId="0" borderId="15" xfId="36" applyNumberFormat="1" applyFont="1" applyFill="1" applyBorder="1" applyAlignment="1" applyProtection="1">
      <alignment horizontal="center" vertical="center" wrapText="1"/>
    </xf>
    <xf numFmtId="4" fontId="40" fillId="0" borderId="15" xfId="36" applyNumberFormat="1" applyFont="1" applyFill="1" applyBorder="1" applyAlignment="1" applyProtection="1">
      <alignment horizontal="center" vertical="center"/>
      <protection locked="0"/>
    </xf>
    <xf numFmtId="1" fontId="40" fillId="0" borderId="15" xfId="36" applyNumberFormat="1" applyFont="1" applyFill="1" applyBorder="1" applyAlignment="1" applyProtection="1">
      <alignment horizontal="center" vertical="center" wrapText="1"/>
    </xf>
    <xf numFmtId="2" fontId="40" fillId="0" borderId="15" xfId="36" applyNumberFormat="1" applyFont="1" applyFill="1" applyBorder="1" applyAlignment="1" applyProtection="1">
      <alignment horizontal="center" vertical="center" wrapText="1"/>
    </xf>
    <xf numFmtId="4" fontId="40" fillId="0" borderId="15" xfId="68" applyNumberFormat="1" applyFont="1" applyFill="1" applyBorder="1" applyAlignment="1" applyProtection="1">
      <alignment horizontal="center" vertical="center" wrapText="1"/>
    </xf>
    <xf numFmtId="4" fontId="41" fillId="0" borderId="10" xfId="36" applyNumberFormat="1" applyFont="1" applyFill="1" applyBorder="1" applyAlignment="1">
      <alignment horizontal="center" vertical="center"/>
    </xf>
    <xf numFmtId="4" fontId="49" fillId="0" borderId="15" xfId="68" applyNumberFormat="1" applyFont="1" applyFill="1" applyBorder="1" applyAlignment="1" applyProtection="1">
      <alignment horizontal="center" vertical="center" wrapText="1"/>
    </xf>
    <xf numFmtId="4" fontId="40" fillId="0" borderId="15" xfId="36" applyNumberFormat="1" applyFont="1" applyFill="1" applyBorder="1" applyAlignment="1" applyProtection="1">
      <alignment horizontal="center" vertical="center" wrapText="1"/>
    </xf>
    <xf numFmtId="4" fontId="49" fillId="0" borderId="10" xfId="54" applyNumberFormat="1" applyFont="1" applyFill="1" applyBorder="1" applyAlignment="1">
      <alignment horizontal="center" vertical="center" wrapText="1"/>
    </xf>
    <xf numFmtId="2" fontId="41" fillId="0" borderId="11" xfId="54" applyNumberFormat="1" applyFont="1" applyFill="1" applyBorder="1" applyAlignment="1">
      <alignment horizontal="center" vertical="center" wrapText="1"/>
    </xf>
    <xf numFmtId="2" fontId="40" fillId="0" borderId="11" xfId="54" applyNumberFormat="1" applyFont="1" applyFill="1" applyBorder="1" applyAlignment="1">
      <alignment horizontal="center" vertical="center" wrapText="1"/>
    </xf>
    <xf numFmtId="2" fontId="40" fillId="0" borderId="11" xfId="58" applyNumberFormat="1" applyFont="1" applyFill="1" applyBorder="1" applyAlignment="1">
      <alignment horizontal="center" vertical="center"/>
    </xf>
    <xf numFmtId="2" fontId="40" fillId="0" borderId="15" xfId="36" applyNumberFormat="1" applyFont="1" applyFill="1" applyBorder="1" applyAlignment="1" applyProtection="1">
      <alignment horizontal="center" vertical="center"/>
      <protection locked="0"/>
    </xf>
    <xf numFmtId="2" fontId="41" fillId="0" borderId="11" xfId="52" applyNumberFormat="1" applyFont="1" applyFill="1" applyBorder="1" applyAlignment="1" applyProtection="1">
      <alignment horizontal="center" vertical="center" wrapText="1"/>
    </xf>
    <xf numFmtId="2" fontId="13" fillId="0" borderId="10" xfId="35" applyNumberFormat="1" applyFont="1" applyFill="1" applyBorder="1" applyAlignment="1" applyProtection="1">
      <alignment horizontal="center" vertical="center"/>
      <protection locked="0"/>
    </xf>
    <xf numFmtId="3" fontId="10" fillId="0" borderId="10" xfId="58" applyNumberFormat="1" applyFont="1" applyFill="1" applyBorder="1" applyAlignment="1">
      <alignment horizontal="center" vertical="center"/>
    </xf>
    <xf numFmtId="0" fontId="5" fillId="0" borderId="10" xfId="35" applyFont="1" applyFill="1" applyBorder="1" applyAlignment="1" applyProtection="1">
      <alignment horizontal="center" vertical="center"/>
    </xf>
    <xf numFmtId="169" fontId="40" fillId="0" borderId="15" xfId="67" applyNumberFormat="1" applyFont="1" applyFill="1" applyBorder="1" applyAlignment="1">
      <alignment horizontal="center" vertical="center" wrapText="1"/>
    </xf>
    <xf numFmtId="2" fontId="40" fillId="0" borderId="15" xfId="67" applyNumberFormat="1" applyFont="1" applyFill="1" applyBorder="1" applyAlignment="1">
      <alignment horizontal="center" vertical="center" wrapText="1"/>
    </xf>
    <xf numFmtId="1" fontId="40" fillId="0" borderId="15" xfId="67" applyNumberFormat="1" applyFont="1" applyFill="1" applyBorder="1" applyAlignment="1">
      <alignment horizontal="center" vertical="center" wrapText="1"/>
    </xf>
    <xf numFmtId="0" fontId="40" fillId="0" borderId="15" xfId="68" applyNumberFormat="1" applyFont="1" applyFill="1" applyBorder="1" applyAlignment="1" applyProtection="1">
      <alignment horizontal="center" vertical="center" wrapText="1"/>
    </xf>
    <xf numFmtId="4" fontId="54" fillId="0" borderId="10" xfId="54" applyNumberFormat="1" applyFont="1" applyFill="1" applyBorder="1" applyAlignment="1">
      <alignment horizontal="center" vertical="center" wrapText="1"/>
    </xf>
    <xf numFmtId="0" fontId="41" fillId="0" borderId="10" xfId="40" applyFont="1" applyFill="1" applyBorder="1" applyAlignment="1">
      <alignment horizontal="center" vertical="center" wrapText="1"/>
    </xf>
    <xf numFmtId="169" fontId="40" fillId="0" borderId="10" xfId="58" applyNumberFormat="1" applyFont="1" applyFill="1" applyBorder="1" applyAlignment="1">
      <alignment horizontal="center" vertical="center"/>
    </xf>
    <xf numFmtId="0" fontId="22" fillId="0" borderId="0" xfId="38" applyFont="1" applyAlignment="1"/>
    <xf numFmtId="0" fontId="8" fillId="0" borderId="0" xfId="35" applyFont="1" applyAlignment="1"/>
    <xf numFmtId="0" fontId="22" fillId="0" borderId="0" xfId="35" applyFont="1" applyAlignment="1"/>
    <xf numFmtId="2" fontId="10" fillId="0" borderId="0" xfId="58" applyNumberFormat="1" applyFont="1" applyAlignment="1">
      <alignment horizontal="center"/>
    </xf>
    <xf numFmtId="2" fontId="41" fillId="0" borderId="15" xfId="68" applyNumberFormat="1" applyFont="1" applyFill="1" applyBorder="1" applyAlignment="1" applyProtection="1">
      <alignment horizontal="center" vertical="center" wrapText="1"/>
    </xf>
    <xf numFmtId="2" fontId="16" fillId="0" borderId="0" xfId="34" applyNumberFormat="1" applyFont="1" applyFill="1"/>
    <xf numFmtId="0" fontId="61" fillId="0" borderId="10" xfId="54" applyFont="1" applyFill="1" applyBorder="1" applyAlignment="1">
      <alignment horizontal="center" vertical="center" wrapText="1"/>
    </xf>
    <xf numFmtId="0" fontId="41" fillId="0" borderId="10" xfId="58" applyFont="1" applyFill="1" applyBorder="1" applyAlignment="1">
      <alignment vertical="center" wrapText="1"/>
    </xf>
    <xf numFmtId="0" fontId="61" fillId="0" borderId="10" xfId="54" applyFont="1" applyFill="1" applyBorder="1" applyAlignment="1">
      <alignment vertical="center" wrapText="1"/>
    </xf>
    <xf numFmtId="0" fontId="40" fillId="0" borderId="15" xfId="69" applyFont="1" applyFill="1" applyBorder="1" applyAlignment="1">
      <alignment horizontal="right" vertical="center" wrapText="1"/>
    </xf>
    <xf numFmtId="4" fontId="40" fillId="0" borderId="15" xfId="67" applyNumberFormat="1" applyFont="1" applyFill="1" applyBorder="1" applyAlignment="1">
      <alignment horizontal="center" vertical="center" wrapText="1"/>
    </xf>
    <xf numFmtId="0" fontId="40" fillId="0" borderId="10" xfId="69" applyFont="1" applyFill="1" applyBorder="1" applyAlignment="1">
      <alignment horizontal="right" vertical="center" wrapText="1"/>
    </xf>
    <xf numFmtId="49" fontId="40" fillId="0" borderId="15" xfId="67" applyNumberFormat="1" applyFont="1" applyFill="1" applyBorder="1" applyAlignment="1">
      <alignment horizontal="center" vertical="center" wrapText="1"/>
    </xf>
    <xf numFmtId="0" fontId="40" fillId="0" borderId="15" xfId="67" applyNumberFormat="1" applyFont="1" applyFill="1" applyBorder="1" applyAlignment="1">
      <alignment horizontal="center" vertical="center" wrapText="1"/>
    </xf>
    <xf numFmtId="0" fontId="40" fillId="0" borderId="15" xfId="36" applyNumberFormat="1" applyFont="1" applyFill="1" applyBorder="1" applyAlignment="1" applyProtection="1">
      <alignment horizontal="center" vertical="center" wrapText="1"/>
    </xf>
    <xf numFmtId="0" fontId="40" fillId="0" borderId="15" xfId="35" applyFont="1" applyFill="1" applyBorder="1" applyAlignment="1">
      <alignment horizontal="right" vertical="center" wrapText="1"/>
    </xf>
    <xf numFmtId="0" fontId="13" fillId="0" borderId="10" xfId="35" applyFont="1" applyFill="1" applyBorder="1" applyAlignment="1" applyProtection="1">
      <alignment wrapText="1"/>
    </xf>
    <xf numFmtId="2" fontId="13" fillId="0" borderId="10" xfId="35" applyNumberFormat="1" applyFont="1" applyFill="1" applyBorder="1" applyAlignment="1" applyProtection="1">
      <alignment horizontal="center" vertical="center" wrapText="1"/>
    </xf>
    <xf numFmtId="0" fontId="40" fillId="0" borderId="10" xfId="69" applyFont="1" applyFill="1" applyBorder="1" applyAlignment="1">
      <alignment horizontal="left" vertical="center" wrapText="1"/>
    </xf>
    <xf numFmtId="0" fontId="13" fillId="0" borderId="15" xfId="69" applyFont="1" applyFill="1" applyBorder="1" applyAlignment="1">
      <alignment horizontal="left" vertical="center" wrapText="1"/>
    </xf>
    <xf numFmtId="4" fontId="13" fillId="0" borderId="10" xfId="40" applyNumberFormat="1" applyFont="1" applyFill="1" applyBorder="1" applyAlignment="1">
      <alignment horizontal="center" vertical="center" wrapText="1"/>
    </xf>
    <xf numFmtId="0" fontId="13" fillId="0" borderId="15" xfId="36" applyFont="1" applyFill="1" applyBorder="1" applyAlignment="1" applyProtection="1">
      <alignment horizontal="left" vertical="center" wrapText="1"/>
    </xf>
    <xf numFmtId="4" fontId="13" fillId="0" borderId="10" xfId="36" applyNumberFormat="1" applyFont="1" applyFill="1" applyBorder="1" applyAlignment="1" applyProtection="1">
      <alignment horizontal="center" vertical="center"/>
      <protection locked="0"/>
    </xf>
    <xf numFmtId="4" fontId="13" fillId="0" borderId="10" xfId="68" applyNumberFormat="1" applyFont="1" applyFill="1" applyBorder="1" applyAlignment="1" applyProtection="1">
      <alignment horizontal="center" vertical="center"/>
      <protection locked="0"/>
    </xf>
    <xf numFmtId="2" fontId="13" fillId="0" borderId="10" xfId="36" applyNumberFormat="1" applyFont="1" applyFill="1" applyBorder="1" applyAlignment="1" applyProtection="1">
      <alignment horizontal="center" vertical="center"/>
      <protection locked="0"/>
    </xf>
    <xf numFmtId="2" fontId="49" fillId="0" borderId="15" xfId="36" applyNumberFormat="1" applyFont="1" applyFill="1" applyBorder="1" applyAlignment="1" applyProtection="1">
      <alignment horizontal="center" vertical="center" wrapText="1"/>
    </xf>
    <xf numFmtId="4" fontId="55" fillId="0" borderId="10" xfId="36" applyNumberFormat="1" applyFont="1" applyFill="1" applyBorder="1" applyAlignment="1" applyProtection="1">
      <alignment horizontal="center" vertical="center"/>
      <protection locked="0"/>
    </xf>
    <xf numFmtId="0" fontId="62" fillId="0" borderId="10" xfId="35" applyFont="1" applyFill="1" applyBorder="1" applyAlignment="1" applyProtection="1">
      <alignment wrapText="1"/>
    </xf>
    <xf numFmtId="0" fontId="62" fillId="0" borderId="15" xfId="69" applyFont="1" applyFill="1" applyBorder="1" applyAlignment="1">
      <alignment horizontal="left" vertical="center" wrapText="1"/>
    </xf>
    <xf numFmtId="0" fontId="62" fillId="0" borderId="15" xfId="36" applyFont="1" applyFill="1" applyBorder="1" applyAlignment="1" applyProtection="1">
      <alignment horizontal="left" vertical="center" wrapText="1"/>
    </xf>
    <xf numFmtId="2" fontId="10" fillId="0" borderId="10" xfId="40" applyNumberFormat="1" applyFont="1" applyFill="1" applyBorder="1" applyAlignment="1">
      <alignment horizontal="center" vertical="center" wrapText="1"/>
    </xf>
    <xf numFmtId="0" fontId="12" fillId="0" borderId="0" xfId="58" applyFont="1" applyFill="1" applyAlignment="1">
      <alignment horizontal="center" vertical="center" wrapText="1"/>
    </xf>
    <xf numFmtId="0" fontId="40" fillId="0" borderId="10" xfId="58" applyFont="1" applyFill="1" applyBorder="1" applyAlignment="1">
      <alignment vertical="center" wrapText="1"/>
    </xf>
    <xf numFmtId="0" fontId="41" fillId="0" borderId="10" xfId="69" applyFont="1" applyFill="1" applyBorder="1" applyAlignment="1">
      <alignment horizontal="left" vertical="center" wrapText="1"/>
    </xf>
    <xf numFmtId="2" fontId="41" fillId="0" borderId="10" xfId="40" applyNumberFormat="1" applyFont="1" applyFill="1" applyBorder="1" applyAlignment="1">
      <alignment horizontal="center" vertical="center" wrapText="1"/>
    </xf>
    <xf numFmtId="169" fontId="41" fillId="0" borderId="15" xfId="67" applyNumberFormat="1" applyFont="1" applyFill="1" applyBorder="1" applyAlignment="1">
      <alignment horizontal="center" vertical="center" wrapText="1"/>
    </xf>
    <xf numFmtId="4" fontId="41" fillId="0" borderId="15" xfId="67" applyNumberFormat="1" applyFont="1" applyFill="1" applyBorder="1" applyAlignment="1">
      <alignment horizontal="center" vertical="center" wrapText="1"/>
    </xf>
    <xf numFmtId="0" fontId="60" fillId="0" borderId="10" xfId="54" applyFont="1" applyFill="1" applyBorder="1" applyAlignment="1">
      <alignment vertical="center" wrapText="1"/>
    </xf>
    <xf numFmtId="169" fontId="41" fillId="0" borderId="15" xfId="36" applyNumberFormat="1" applyFont="1" applyFill="1" applyBorder="1" applyAlignment="1" applyProtection="1">
      <alignment horizontal="center" vertical="center" wrapText="1"/>
    </xf>
    <xf numFmtId="4" fontId="41" fillId="0" borderId="15" xfId="36" applyNumberFormat="1" applyFont="1" applyFill="1" applyBorder="1" applyAlignment="1" applyProtection="1">
      <alignment horizontal="center" vertical="center" wrapText="1"/>
    </xf>
    <xf numFmtId="1" fontId="41" fillId="0" borderId="10" xfId="58" applyNumberFormat="1" applyFont="1" applyFill="1" applyBorder="1" applyAlignment="1">
      <alignment horizontal="center" vertical="center"/>
    </xf>
    <xf numFmtId="2" fontId="41" fillId="0" borderId="15" xfId="36" applyNumberFormat="1" applyFont="1" applyFill="1" applyBorder="1" applyAlignment="1" applyProtection="1">
      <alignment horizontal="center" vertical="center" wrapText="1"/>
    </xf>
    <xf numFmtId="1" fontId="41" fillId="0" borderId="15" xfId="36" applyNumberFormat="1" applyFont="1" applyFill="1" applyBorder="1" applyAlignment="1" applyProtection="1">
      <alignment horizontal="center" vertical="center" wrapText="1"/>
    </xf>
    <xf numFmtId="1" fontId="41" fillId="0" borderId="10" xfId="54" applyNumberFormat="1" applyFont="1" applyFill="1" applyBorder="1" applyAlignment="1">
      <alignment horizontal="center" vertical="center" wrapText="1"/>
    </xf>
    <xf numFmtId="0" fontId="41" fillId="0" borderId="15" xfId="69" applyFont="1" applyFill="1" applyBorder="1" applyAlignment="1">
      <alignment horizontal="left" vertical="center" wrapText="1"/>
    </xf>
    <xf numFmtId="169" fontId="41" fillId="0" borderId="15" xfId="68" applyNumberFormat="1" applyFont="1" applyFill="1" applyBorder="1" applyAlignment="1" applyProtection="1">
      <alignment horizontal="center" vertical="center" wrapText="1"/>
    </xf>
    <xf numFmtId="4" fontId="41" fillId="0" borderId="15" xfId="68" applyNumberFormat="1" applyFont="1" applyFill="1" applyBorder="1" applyAlignment="1" applyProtection="1">
      <alignment horizontal="center" vertical="center" wrapText="1"/>
    </xf>
    <xf numFmtId="0" fontId="41" fillId="0" borderId="10" xfId="35" applyFont="1" applyFill="1" applyBorder="1" applyAlignment="1">
      <alignment horizontal="left" vertical="center" wrapText="1"/>
    </xf>
    <xf numFmtId="2" fontId="41" fillId="0" borderId="10" xfId="35" applyNumberFormat="1" applyFont="1" applyFill="1" applyBorder="1" applyAlignment="1">
      <alignment horizontal="center" vertical="center" wrapText="1"/>
    </xf>
    <xf numFmtId="169" fontId="41" fillId="0" borderId="10" xfId="40" applyNumberFormat="1" applyFont="1" applyFill="1" applyBorder="1" applyAlignment="1">
      <alignment horizontal="center" vertical="center" wrapText="1"/>
    </xf>
    <xf numFmtId="170" fontId="40" fillId="0" borderId="11" xfId="54" applyNumberFormat="1" applyFont="1" applyFill="1" applyBorder="1" applyAlignment="1">
      <alignment horizontal="center" vertical="center" wrapText="1"/>
    </xf>
    <xf numFmtId="169" fontId="54" fillId="0" borderId="15" xfId="68" applyNumberFormat="1" applyFont="1" applyFill="1" applyBorder="1" applyAlignment="1" applyProtection="1">
      <alignment horizontal="center" vertical="center" wrapText="1"/>
    </xf>
    <xf numFmtId="4" fontId="54" fillId="0" borderId="15" xfId="68" applyNumberFormat="1" applyFont="1" applyFill="1" applyBorder="1" applyAlignment="1" applyProtection="1">
      <alignment horizontal="center" vertical="center" wrapText="1"/>
    </xf>
    <xf numFmtId="2" fontId="54" fillId="0" borderId="15" xfId="68" applyNumberFormat="1" applyFont="1" applyFill="1" applyBorder="1" applyAlignment="1" applyProtection="1">
      <alignment horizontal="center" vertical="center" wrapText="1"/>
    </xf>
    <xf numFmtId="4" fontId="41" fillId="0" borderId="10" xfId="35" applyNumberFormat="1" applyFont="1" applyFill="1" applyBorder="1" applyAlignment="1">
      <alignment horizontal="center" vertical="center" wrapText="1"/>
    </xf>
    <xf numFmtId="4" fontId="40" fillId="0" borderId="10" xfId="54" applyNumberFormat="1" applyFont="1" applyFill="1" applyBorder="1" applyAlignment="1">
      <alignment horizontal="center" vertical="center" wrapText="1"/>
    </xf>
    <xf numFmtId="0" fontId="54" fillId="0" borderId="15" xfId="69" applyFont="1" applyFill="1" applyBorder="1" applyAlignment="1">
      <alignment horizontal="left" vertical="center" wrapText="1"/>
    </xf>
    <xf numFmtId="4" fontId="54" fillId="0" borderId="15" xfId="36" applyNumberFormat="1" applyFont="1" applyFill="1" applyBorder="1" applyAlignment="1" applyProtection="1">
      <alignment horizontal="center" vertical="center" wrapText="1"/>
    </xf>
    <xf numFmtId="4" fontId="41" fillId="0" borderId="11" xfId="58" applyNumberFormat="1" applyFont="1" applyFill="1" applyBorder="1" applyAlignment="1">
      <alignment horizontal="center" vertical="center"/>
    </xf>
    <xf numFmtId="2" fontId="41" fillId="0" borderId="11" xfId="58" applyNumberFormat="1" applyFont="1" applyFill="1" applyBorder="1" applyAlignment="1">
      <alignment horizontal="center" vertical="center"/>
    </xf>
    <xf numFmtId="169" fontId="40" fillId="0" borderId="10" xfId="54" applyNumberFormat="1" applyFont="1" applyFill="1" applyBorder="1" applyAlignment="1">
      <alignment horizontal="center" vertical="center"/>
    </xf>
    <xf numFmtId="4" fontId="40" fillId="0" borderId="11" xfId="52" applyNumberFormat="1" applyFont="1" applyFill="1" applyBorder="1" applyAlignment="1" applyProtection="1">
      <alignment horizontal="center" vertical="center" wrapText="1"/>
    </xf>
    <xf numFmtId="2" fontId="54" fillId="0" borderId="15" xfId="36" applyNumberFormat="1" applyFont="1" applyFill="1" applyBorder="1" applyAlignment="1" applyProtection="1">
      <alignment horizontal="center" vertical="center" wrapText="1"/>
    </xf>
    <xf numFmtId="2" fontId="40" fillId="0" borderId="11" xfId="52" applyNumberFormat="1" applyFont="1" applyFill="1" applyBorder="1" applyAlignment="1" applyProtection="1">
      <alignment horizontal="center" vertical="center" wrapText="1"/>
    </xf>
    <xf numFmtId="0" fontId="41" fillId="0" borderId="15" xfId="35" applyFont="1" applyFill="1" applyBorder="1" applyAlignment="1">
      <alignment horizontal="left" vertical="center" wrapText="1"/>
    </xf>
    <xf numFmtId="0" fontId="54" fillId="0" borderId="10" xfId="35" applyFont="1" applyFill="1" applyBorder="1" applyAlignment="1">
      <alignment horizontal="left" vertical="center" wrapText="1"/>
    </xf>
    <xf numFmtId="0" fontId="41" fillId="0" borderId="10" xfId="35" applyFont="1" applyFill="1" applyBorder="1" applyAlignment="1" applyProtection="1">
      <alignment wrapText="1"/>
    </xf>
    <xf numFmtId="0" fontId="40" fillId="0" borderId="10" xfId="0" applyFont="1" applyFill="1" applyBorder="1" applyAlignment="1">
      <alignment horizontal="left" wrapText="1"/>
    </xf>
    <xf numFmtId="0" fontId="49" fillId="0" borderId="10" xfId="0" applyFont="1" applyFill="1" applyBorder="1" applyAlignment="1">
      <alignment horizontal="left" vertical="center" wrapText="1"/>
    </xf>
    <xf numFmtId="2" fontId="40" fillId="0" borderId="10" xfId="35" applyNumberFormat="1" applyFont="1" applyFill="1" applyBorder="1" applyAlignment="1" applyProtection="1">
      <alignment horizontal="center" vertical="center" wrapText="1"/>
    </xf>
    <xf numFmtId="169" fontId="40" fillId="0" borderId="10" xfId="35" applyNumberFormat="1" applyFont="1" applyFill="1" applyBorder="1" applyAlignment="1" applyProtection="1">
      <alignment horizontal="center" vertical="center" wrapText="1"/>
    </xf>
    <xf numFmtId="2" fontId="49" fillId="0" borderId="10" xfId="36" applyNumberFormat="1" applyFont="1" applyFill="1" applyBorder="1" applyAlignment="1">
      <alignment horizontal="center" vertical="center"/>
    </xf>
    <xf numFmtId="49" fontId="10" fillId="0" borderId="10" xfId="35" applyNumberFormat="1" applyFont="1" applyFill="1" applyBorder="1" applyAlignment="1" applyProtection="1">
      <alignment horizontal="center" vertical="center" wrapText="1"/>
    </xf>
    <xf numFmtId="2" fontId="10" fillId="0" borderId="10" xfId="35" applyNumberFormat="1" applyFont="1" applyFill="1" applyBorder="1" applyAlignment="1" applyProtection="1">
      <alignment horizontal="center" vertical="center" wrapText="1"/>
    </xf>
    <xf numFmtId="2" fontId="56" fillId="0" borderId="10" xfId="35" applyNumberFormat="1" applyFont="1" applyFill="1" applyBorder="1" applyAlignment="1" applyProtection="1">
      <alignment horizontal="center" vertical="center"/>
      <protection locked="0"/>
    </xf>
    <xf numFmtId="0" fontId="40" fillId="0" borderId="10" xfId="35" applyFont="1" applyFill="1" applyBorder="1" applyAlignment="1" applyProtection="1">
      <alignment horizontal="left" vertical="center" wrapText="1"/>
    </xf>
    <xf numFmtId="0" fontId="63" fillId="0" borderId="15" xfId="70" applyFont="1" applyFill="1" applyBorder="1" applyAlignment="1">
      <alignment horizontal="left" vertical="center" wrapText="1"/>
    </xf>
    <xf numFmtId="2" fontId="49" fillId="0" borderId="11" xfId="54" applyNumberFormat="1" applyFont="1" applyFill="1" applyBorder="1" applyAlignment="1">
      <alignment horizontal="center" vertical="center" wrapText="1"/>
    </xf>
    <xf numFmtId="170" fontId="13" fillId="0" borderId="11" xfId="54" applyNumberFormat="1" applyFont="1" applyFill="1" applyBorder="1" applyAlignment="1">
      <alignment horizontal="center" vertical="center" wrapText="1"/>
    </xf>
    <xf numFmtId="0" fontId="40" fillId="0" borderId="10" xfId="40" applyFont="1" applyFill="1" applyBorder="1" applyAlignment="1">
      <alignment horizontal="left" vertical="center" wrapText="1"/>
    </xf>
    <xf numFmtId="3" fontId="13" fillId="0" borderId="11" xfId="54" applyNumberFormat="1" applyFont="1" applyFill="1" applyBorder="1" applyAlignment="1">
      <alignment horizontal="center" vertical="center" wrapText="1"/>
    </xf>
    <xf numFmtId="3" fontId="41" fillId="0" borderId="10" xfId="35" applyNumberFormat="1" applyFont="1" applyFill="1" applyBorder="1" applyAlignment="1">
      <alignment horizontal="center" vertical="center"/>
    </xf>
    <xf numFmtId="2" fontId="54" fillId="0" borderId="10" xfId="54" applyNumberFormat="1" applyFont="1" applyFill="1" applyBorder="1" applyAlignment="1">
      <alignment horizontal="center" vertical="center" wrapText="1"/>
    </xf>
    <xf numFmtId="3" fontId="54" fillId="0" borderId="10" xfId="54" applyNumberFormat="1" applyFont="1" applyFill="1" applyBorder="1" applyAlignment="1">
      <alignment horizontal="center" vertical="center" wrapText="1"/>
    </xf>
    <xf numFmtId="2" fontId="10" fillId="0" borderId="10" xfId="40" applyNumberFormat="1" applyFont="1" applyFill="1" applyBorder="1" applyAlignment="1">
      <alignment vertical="center" wrapText="1"/>
    </xf>
    <xf numFmtId="2" fontId="40" fillId="0" borderId="10" xfId="61" applyNumberFormat="1" applyFont="1" applyFill="1" applyBorder="1" applyAlignment="1">
      <alignment horizontal="center" vertical="center"/>
    </xf>
    <xf numFmtId="2" fontId="41" fillId="0" borderId="10" xfId="61" applyNumberFormat="1" applyFont="1" applyFill="1" applyBorder="1" applyAlignment="1">
      <alignment horizontal="center" vertical="center"/>
    </xf>
    <xf numFmtId="0" fontId="53" fillId="27" borderId="10" xfId="36" applyFont="1" applyFill="1" applyBorder="1" applyAlignment="1">
      <alignment vertical="center" wrapText="1"/>
    </xf>
    <xf numFmtId="0" fontId="40" fillId="0" borderId="16" xfId="67" applyFont="1" applyFill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164" fontId="40" fillId="0" borderId="10" xfId="57" applyNumberFormat="1" applyFont="1" applyFill="1" applyBorder="1" applyAlignment="1">
      <alignment horizontal="center" vertical="center"/>
    </xf>
    <xf numFmtId="0" fontId="10" fillId="27" borderId="10" xfId="36" applyFont="1" applyFill="1" applyBorder="1" applyAlignment="1">
      <alignment vertical="center" wrapText="1"/>
    </xf>
    <xf numFmtId="2" fontId="40" fillId="0" borderId="10" xfId="63" applyNumberFormat="1" applyFont="1" applyFill="1" applyBorder="1" applyAlignment="1">
      <alignment horizontal="center" vertical="center"/>
    </xf>
    <xf numFmtId="0" fontId="40" fillId="0" borderId="10" xfId="54" applyFont="1" applyFill="1" applyBorder="1" applyAlignment="1">
      <alignment horizontal="center" vertical="center" wrapText="1"/>
    </xf>
    <xf numFmtId="2" fontId="64" fillId="0" borderId="10" xfId="40" applyNumberFormat="1" applyFont="1" applyFill="1" applyBorder="1" applyAlignment="1">
      <alignment horizontal="center" vertical="center"/>
    </xf>
    <xf numFmtId="0" fontId="10" fillId="0" borderId="10" xfId="40" applyFont="1" applyFill="1" applyBorder="1" applyAlignment="1">
      <alignment horizontal="center" vertical="center" wrapText="1"/>
    </xf>
    <xf numFmtId="1" fontId="40" fillId="0" borderId="10" xfId="52" applyNumberFormat="1" applyFont="1" applyFill="1" applyBorder="1" applyAlignment="1" applyProtection="1">
      <alignment horizontal="center" vertical="center" wrapText="1"/>
    </xf>
    <xf numFmtId="169" fontId="40" fillId="0" borderId="11" xfId="54" applyNumberFormat="1" applyFont="1" applyFill="1" applyBorder="1" applyAlignment="1">
      <alignment horizontal="center" vertical="center" wrapText="1"/>
    </xf>
    <xf numFmtId="169" fontId="41" fillId="0" borderId="10" xfId="58" applyNumberFormat="1" applyFont="1" applyFill="1" applyBorder="1" applyAlignment="1">
      <alignment horizontal="center" vertical="center"/>
    </xf>
    <xf numFmtId="170" fontId="41" fillId="0" borderId="15" xfId="36" applyNumberFormat="1" applyFont="1" applyFill="1" applyBorder="1" applyAlignment="1" applyProtection="1">
      <alignment horizontal="center" vertical="center" wrapText="1"/>
    </xf>
    <xf numFmtId="170" fontId="40" fillId="0" borderId="15" xfId="36" applyNumberFormat="1" applyFont="1" applyFill="1" applyBorder="1" applyAlignment="1" applyProtection="1">
      <alignment horizontal="center" vertical="center" wrapText="1"/>
    </xf>
    <xf numFmtId="170" fontId="40" fillId="0" borderId="10" xfId="54" applyNumberFormat="1" applyFont="1" applyFill="1" applyBorder="1" applyAlignment="1">
      <alignment horizontal="center" vertical="center" wrapText="1"/>
    </xf>
    <xf numFmtId="3" fontId="40" fillId="0" borderId="10" xfId="54" applyNumberFormat="1" applyFont="1" applyFill="1" applyBorder="1" applyAlignment="1">
      <alignment horizontal="center" vertical="center" wrapText="1"/>
    </xf>
    <xf numFmtId="2" fontId="42" fillId="0" borderId="10" xfId="40" applyNumberFormat="1" applyFont="1" applyFill="1" applyBorder="1" applyAlignment="1">
      <alignment horizontal="center" vertical="center"/>
    </xf>
    <xf numFmtId="0" fontId="11" fillId="24" borderId="10" xfId="34" applyFont="1" applyFill="1" applyBorder="1" applyAlignment="1" applyProtection="1">
      <alignment horizontal="center" vertical="center"/>
    </xf>
    <xf numFmtId="0" fontId="7" fillId="24" borderId="10" xfId="34" applyFont="1" applyFill="1" applyBorder="1"/>
    <xf numFmtId="0" fontId="5" fillId="25" borderId="12" xfId="34" applyFont="1" applyFill="1" applyBorder="1" applyAlignment="1" applyProtection="1">
      <alignment horizontal="center" vertical="center"/>
    </xf>
    <xf numFmtId="0" fontId="10" fillId="0" borderId="0" xfId="34" applyFont="1" applyFill="1" applyAlignment="1">
      <alignment horizontal="left" indent="1"/>
    </xf>
    <xf numFmtId="0" fontId="10" fillId="0" borderId="0" xfId="34" applyFont="1" applyAlignment="1">
      <alignment horizontal="left" indent="1"/>
    </xf>
    <xf numFmtId="0" fontId="22" fillId="0" borderId="0" xfId="38" applyFont="1" applyAlignment="1">
      <alignment horizontal="center" vertical="center" wrapText="1"/>
    </xf>
    <xf numFmtId="0" fontId="8" fillId="0" borderId="0" xfId="38" applyFont="1" applyAlignment="1">
      <alignment horizontal="center" vertical="center" wrapText="1"/>
    </xf>
    <xf numFmtId="0" fontId="10" fillId="0" borderId="0" xfId="34" applyFont="1" applyFill="1" applyAlignment="1">
      <alignment horizontal="right"/>
    </xf>
    <xf numFmtId="0" fontId="5" fillId="25" borderId="11" xfId="34" applyNumberFormat="1" applyFont="1" applyFill="1" applyBorder="1" applyAlignment="1" applyProtection="1">
      <alignment horizontal="center" vertical="center" wrapText="1"/>
    </xf>
    <xf numFmtId="0" fontId="5" fillId="25" borderId="16" xfId="34" applyNumberFormat="1" applyFont="1" applyFill="1" applyBorder="1" applyAlignment="1" applyProtection="1">
      <alignment horizontal="center" vertical="center" wrapText="1"/>
    </xf>
    <xf numFmtId="0" fontId="11" fillId="24" borderId="11" xfId="34" applyFont="1" applyFill="1" applyBorder="1" applyAlignment="1" applyProtection="1">
      <alignment horizontal="center" vertical="center" wrapText="1"/>
    </xf>
    <xf numFmtId="0" fontId="11" fillId="24" borderId="13" xfId="34" applyFont="1" applyFill="1" applyBorder="1" applyAlignment="1" applyProtection="1">
      <alignment horizontal="center" vertical="center" wrapText="1"/>
    </xf>
    <xf numFmtId="0" fontId="11" fillId="24" borderId="16" xfId="34" applyFont="1" applyFill="1" applyBorder="1" applyAlignment="1" applyProtection="1">
      <alignment horizontal="center" vertical="center" wrapText="1"/>
    </xf>
    <xf numFmtId="0" fontId="8" fillId="0" borderId="12" xfId="34" applyFont="1" applyFill="1" applyBorder="1" applyAlignment="1" applyProtection="1">
      <alignment horizontal="center" vertical="center" wrapText="1"/>
    </xf>
    <xf numFmtId="0" fontId="8" fillId="0" borderId="15" xfId="34" applyFont="1" applyFill="1" applyBorder="1" applyAlignment="1" applyProtection="1">
      <alignment horizontal="center" vertical="center" wrapText="1"/>
    </xf>
    <xf numFmtId="0" fontId="8" fillId="0" borderId="17" xfId="34" applyFont="1" applyFill="1" applyBorder="1" applyAlignment="1" applyProtection="1">
      <alignment horizontal="center" vertical="center" wrapText="1"/>
    </xf>
    <xf numFmtId="0" fontId="8" fillId="0" borderId="20" xfId="34" applyFont="1" applyFill="1" applyBorder="1" applyAlignment="1" applyProtection="1">
      <alignment horizontal="center" vertical="center" wrapText="1"/>
    </xf>
    <xf numFmtId="0" fontId="10" fillId="0" borderId="12" xfId="58" applyFont="1" applyFill="1" applyBorder="1" applyAlignment="1">
      <alignment horizontal="center" vertical="center" wrapText="1"/>
    </xf>
    <xf numFmtId="0" fontId="10" fillId="0" borderId="15" xfId="58" applyFont="1" applyFill="1" applyBorder="1" applyAlignment="1">
      <alignment horizontal="center" vertical="center" wrapText="1"/>
    </xf>
    <xf numFmtId="0" fontId="10" fillId="0" borderId="17" xfId="58" applyFont="1" applyFill="1" applyBorder="1" applyAlignment="1">
      <alignment horizontal="center" vertical="center" wrapText="1"/>
    </xf>
    <xf numFmtId="0" fontId="10" fillId="0" borderId="21" xfId="58" applyFont="1" applyFill="1" applyBorder="1" applyAlignment="1">
      <alignment horizontal="center" vertical="center" wrapText="1"/>
    </xf>
    <xf numFmtId="0" fontId="13" fillId="0" borderId="11" xfId="58" applyFont="1" applyFill="1" applyBorder="1" applyAlignment="1">
      <alignment horizontal="left" vertical="center"/>
    </xf>
    <xf numFmtId="0" fontId="13" fillId="0" borderId="13" xfId="58" applyFont="1" applyFill="1" applyBorder="1" applyAlignment="1">
      <alignment horizontal="left" vertical="center"/>
    </xf>
    <xf numFmtId="0" fontId="13" fillId="0" borderId="16" xfId="58" applyFont="1" applyFill="1" applyBorder="1" applyAlignment="1">
      <alignment horizontal="left" vertical="center"/>
    </xf>
    <xf numFmtId="0" fontId="13" fillId="0" borderId="11" xfId="58" applyFont="1" applyFill="1" applyBorder="1" applyAlignment="1">
      <alignment horizontal="left" vertical="center" wrapText="1"/>
    </xf>
    <xf numFmtId="0" fontId="13" fillId="0" borderId="16" xfId="58" applyFont="1" applyFill="1" applyBorder="1" applyAlignment="1">
      <alignment horizontal="left" vertical="center" wrapText="1"/>
    </xf>
    <xf numFmtId="0" fontId="47" fillId="24" borderId="11" xfId="34" applyFont="1" applyFill="1" applyBorder="1" applyAlignment="1" applyProtection="1">
      <alignment horizontal="center" vertical="top" wrapText="1"/>
    </xf>
    <xf numFmtId="0" fontId="47" fillId="24" borderId="13" xfId="34" applyFont="1" applyFill="1" applyBorder="1" applyAlignment="1" applyProtection="1">
      <alignment horizontal="center" vertical="top" wrapText="1"/>
    </xf>
    <xf numFmtId="0" fontId="47" fillId="24" borderId="16" xfId="34" applyFont="1" applyFill="1" applyBorder="1" applyAlignment="1" applyProtection="1">
      <alignment horizontal="center" vertical="top" wrapText="1"/>
    </xf>
    <xf numFmtId="0" fontId="10" fillId="0" borderId="19" xfId="58" applyFont="1" applyFill="1" applyBorder="1" applyAlignment="1">
      <alignment horizontal="center" vertical="center" wrapText="1"/>
    </xf>
    <xf numFmtId="0" fontId="14" fillId="0" borderId="12" xfId="58" applyFont="1" applyFill="1" applyBorder="1" applyAlignment="1">
      <alignment horizontal="center" vertical="center" wrapText="1"/>
    </xf>
    <xf numFmtId="0" fontId="14" fillId="0" borderId="19" xfId="58" applyFont="1" applyFill="1" applyBorder="1" applyAlignment="1">
      <alignment horizontal="center" vertical="center" wrapText="1"/>
    </xf>
    <xf numFmtId="0" fontId="14" fillId="0" borderId="15" xfId="58" applyFont="1" applyFill="1" applyBorder="1" applyAlignment="1">
      <alignment horizontal="center" vertical="center" wrapText="1"/>
    </xf>
    <xf numFmtId="0" fontId="10" fillId="0" borderId="20" xfId="58" applyFont="1" applyFill="1" applyBorder="1" applyAlignment="1">
      <alignment horizontal="center" vertical="center" wrapText="1"/>
    </xf>
    <xf numFmtId="0" fontId="10" fillId="0" borderId="18" xfId="58" applyFont="1" applyFill="1" applyBorder="1" applyAlignment="1">
      <alignment horizontal="center" vertical="center" wrapText="1"/>
    </xf>
    <xf numFmtId="0" fontId="10" fillId="0" borderId="22" xfId="58" applyFont="1" applyFill="1" applyBorder="1" applyAlignment="1">
      <alignment horizontal="center" vertical="center" wrapText="1"/>
    </xf>
    <xf numFmtId="0" fontId="10" fillId="0" borderId="23" xfId="58" applyFont="1" applyFill="1" applyBorder="1" applyAlignment="1">
      <alignment horizontal="center" vertical="center" wrapText="1"/>
    </xf>
    <xf numFmtId="0" fontId="14" fillId="0" borderId="10" xfId="58" applyFont="1" applyFill="1" applyBorder="1" applyAlignment="1">
      <alignment horizontal="center" vertical="center" wrapText="1"/>
    </xf>
    <xf numFmtId="0" fontId="10" fillId="0" borderId="10" xfId="58" applyFont="1" applyFill="1" applyBorder="1" applyAlignment="1">
      <alignment horizontal="center" vertical="center" wrapText="1"/>
    </xf>
    <xf numFmtId="0" fontId="10" fillId="0" borderId="11" xfId="58" applyFont="1" applyFill="1" applyBorder="1" applyAlignment="1">
      <alignment horizontal="center" vertical="center" wrapText="1"/>
    </xf>
    <xf numFmtId="0" fontId="10" fillId="0" borderId="13" xfId="58" applyFont="1" applyFill="1" applyBorder="1" applyAlignment="1">
      <alignment horizontal="center" vertical="center" wrapText="1"/>
    </xf>
    <xf numFmtId="0" fontId="44" fillId="25" borderId="10" xfId="58" applyFont="1" applyFill="1" applyBorder="1" applyAlignment="1">
      <alignment vertical="center"/>
    </xf>
    <xf numFmtId="0" fontId="11" fillId="0" borderId="11" xfId="58" applyFont="1" applyFill="1" applyBorder="1" applyAlignment="1">
      <alignment horizontal="left"/>
    </xf>
    <xf numFmtId="0" fontId="11" fillId="0" borderId="13" xfId="58" applyFont="1" applyFill="1" applyBorder="1" applyAlignment="1">
      <alignment horizontal="left"/>
    </xf>
    <xf numFmtId="0" fontId="11" fillId="0" borderId="16" xfId="58" applyFont="1" applyFill="1" applyBorder="1" applyAlignment="1">
      <alignment horizontal="left"/>
    </xf>
    <xf numFmtId="0" fontId="13" fillId="0" borderId="13" xfId="58" applyFont="1" applyFill="1" applyBorder="1" applyAlignment="1">
      <alignment horizontal="left" vertical="center" wrapText="1"/>
    </xf>
    <xf numFmtId="0" fontId="13" fillId="0" borderId="11" xfId="58" applyFont="1" applyFill="1" applyBorder="1" applyAlignment="1">
      <alignment horizontal="left"/>
    </xf>
    <xf numFmtId="0" fontId="13" fillId="0" borderId="13" xfId="58" applyFont="1" applyFill="1" applyBorder="1" applyAlignment="1">
      <alignment horizontal="left"/>
    </xf>
    <xf numFmtId="0" fontId="13" fillId="0" borderId="16" xfId="58" applyFont="1" applyFill="1" applyBorder="1" applyAlignment="1">
      <alignment horizontal="left"/>
    </xf>
    <xf numFmtId="0" fontId="44" fillId="25" borderId="10" xfId="58" applyFont="1" applyFill="1" applyBorder="1" applyAlignment="1">
      <alignment horizontal="left" vertical="center"/>
    </xf>
    <xf numFmtId="0" fontId="44" fillId="25" borderId="11" xfId="58" applyFont="1" applyFill="1" applyBorder="1" applyAlignment="1">
      <alignment vertical="center"/>
    </xf>
    <xf numFmtId="0" fontId="44" fillId="25" borderId="13" xfId="58" applyFont="1" applyFill="1" applyBorder="1" applyAlignment="1">
      <alignment vertical="center"/>
    </xf>
    <xf numFmtId="0" fontId="44" fillId="25" borderId="16" xfId="58" applyFont="1" applyFill="1" applyBorder="1" applyAlignment="1">
      <alignment vertical="center"/>
    </xf>
    <xf numFmtId="0" fontId="10" fillId="0" borderId="0" xfId="53" applyFont="1" applyAlignment="1" applyProtection="1">
      <alignment horizontal="left"/>
      <protection hidden="1"/>
    </xf>
    <xf numFmtId="0" fontId="40" fillId="0" borderId="0" xfId="58" applyFont="1" applyFill="1" applyAlignment="1">
      <alignment horizontal="left" wrapText="1"/>
    </xf>
    <xf numFmtId="0" fontId="46" fillId="25" borderId="10" xfId="58" applyFont="1" applyFill="1" applyBorder="1" applyAlignment="1">
      <alignment vertical="center"/>
    </xf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au?iue" xfId="34"/>
    <cellStyle name="Iau?iue 2" xfId="35"/>
    <cellStyle name="Iau?iue 2 2" xfId="36"/>
    <cellStyle name="Iau?iue 2 2 2" xfId="66"/>
    <cellStyle name="Iau?iue 2 2 2 2" xfId="68"/>
    <cellStyle name="Iau?iue 3" xfId="37"/>
    <cellStyle name="Iau?iue 3 2" xfId="38"/>
    <cellStyle name="Iau?iue 4" xfId="39"/>
    <cellStyle name="Iau?iue_dodatok 3" xfId="58"/>
    <cellStyle name="Iau?iue_ІП-2015 20.06.14" xfId="57"/>
    <cellStyle name="Iau?iue_ІП-2015 28.07.14" xfId="63"/>
    <cellStyle name="Iau?iue_ІР2014 підрядники" xfId="69"/>
    <cellStyle name="Iau?iue_Пропозиції до ІП_2013 7 розділ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Звичайний_445583" xfId="59"/>
    <cellStyle name="Обычный" xfId="0" builtinId="0"/>
    <cellStyle name="Обычный 2" xfId="49"/>
    <cellStyle name="Обычный 2 2" xfId="61"/>
    <cellStyle name="Обычный 2 4" xfId="62"/>
    <cellStyle name="Обычный 2 4 2" xfId="67"/>
    <cellStyle name="Обычный 3" xfId="50"/>
    <cellStyle name="Обычный 7" xfId="70"/>
    <cellStyle name="Обычный_IP_2008_Оригинал" xfId="51"/>
    <cellStyle name="Обычный_IP_2008_Оригинал_31199" xfId="52"/>
    <cellStyle name="Обычный_IP_2008_Оригинал_new" xfId="65"/>
    <cellStyle name="Обычный_nkre1" xfId="53"/>
    <cellStyle name="Обычный_Проект_IP_2009_260608" xfId="54"/>
    <cellStyle name="Процентный" xfId="64" builtinId="5"/>
    <cellStyle name="Процентный 2" xfId="55"/>
    <cellStyle name="Стиль 1" xfId="56"/>
    <cellStyle name="Стиль 1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I9"/>
  <sheetViews>
    <sheetView zoomScaleNormal="100" zoomScaleSheetLayoutView="100" workbookViewId="0">
      <selection activeCell="H12" sqref="H12"/>
    </sheetView>
  </sheetViews>
  <sheetFormatPr defaultRowHeight="12.75"/>
  <cols>
    <col min="1" max="1" width="29.7109375" style="3" customWidth="1"/>
    <col min="2" max="2" width="3.7109375" style="3" customWidth="1"/>
    <col min="3" max="3" width="21.28515625" style="3" customWidth="1"/>
    <col min="4" max="4" width="5.7109375" style="3" customWidth="1"/>
    <col min="5" max="5" width="22.140625" style="3" customWidth="1"/>
    <col min="6" max="16384" width="9.140625" style="3"/>
  </cols>
  <sheetData>
    <row r="1" spans="1:9" s="6" customFormat="1" ht="15.75">
      <c r="C1" s="395"/>
      <c r="D1" s="395"/>
      <c r="E1" s="395"/>
      <c r="F1" s="7"/>
      <c r="G1" s="7"/>
      <c r="H1" s="7"/>
      <c r="I1" s="7"/>
    </row>
    <row r="2" spans="1:9" s="6" customFormat="1" ht="15.75" customHeight="1">
      <c r="C2" s="395"/>
      <c r="D2" s="395"/>
      <c r="E2" s="395"/>
      <c r="F2" s="395"/>
      <c r="G2" s="7"/>
      <c r="H2" s="7"/>
      <c r="I2" s="7"/>
    </row>
    <row r="3" spans="1:9" s="6" customFormat="1" ht="15.75" customHeight="1">
      <c r="C3" s="396"/>
      <c r="D3" s="396"/>
      <c r="E3" s="396"/>
      <c r="F3" s="396"/>
      <c r="G3" s="396"/>
      <c r="H3" s="396"/>
      <c r="I3" s="396"/>
    </row>
    <row r="4" spans="1:9" s="6" customFormat="1" ht="15.75" customHeight="1">
      <c r="C4" s="396"/>
      <c r="D4" s="396"/>
      <c r="E4" s="396"/>
      <c r="F4" s="396"/>
      <c r="G4" s="5"/>
      <c r="H4" s="5"/>
      <c r="I4" s="5"/>
    </row>
    <row r="6" spans="1:9" ht="26.25" customHeight="1">
      <c r="A6" s="392" t="s">
        <v>14</v>
      </c>
      <c r="B6" s="393"/>
      <c r="C6" s="393"/>
      <c r="D6" s="393"/>
      <c r="E6" s="393"/>
    </row>
    <row r="7" spans="1:9" ht="29.25" customHeight="1" thickBot="1">
      <c r="A7" s="19" t="s">
        <v>17</v>
      </c>
      <c r="B7" s="394" t="s">
        <v>72</v>
      </c>
      <c r="C7" s="394"/>
      <c r="D7" s="394"/>
      <c r="E7" s="394"/>
    </row>
    <row r="8" spans="1:9" ht="26.25" customHeight="1" thickBot="1">
      <c r="A8" s="20" t="s">
        <v>15</v>
      </c>
      <c r="B8" s="22" t="s">
        <v>8</v>
      </c>
      <c r="C8" s="57">
        <v>44197</v>
      </c>
      <c r="D8" s="18" t="s">
        <v>11</v>
      </c>
      <c r="E8" s="57">
        <v>44286</v>
      </c>
    </row>
    <row r="9" spans="1:9" ht="22.5" customHeight="1" thickBot="1">
      <c r="A9" s="21" t="s">
        <v>16</v>
      </c>
      <c r="B9" s="22" t="s">
        <v>8</v>
      </c>
      <c r="C9" s="57">
        <v>44197</v>
      </c>
      <c r="D9" s="18" t="s">
        <v>11</v>
      </c>
      <c r="E9" s="57">
        <v>44561</v>
      </c>
    </row>
  </sheetData>
  <mergeCells count="6">
    <mergeCell ref="A6:E6"/>
    <mergeCell ref="B7:E7"/>
    <mergeCell ref="C1:E1"/>
    <mergeCell ref="C2:F2"/>
    <mergeCell ref="C3:I3"/>
    <mergeCell ref="C4:F4"/>
  </mergeCells>
  <phoneticPr fontId="3" type="noConversion"/>
  <pageMargins left="0.67" right="0.39370078740157483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U28"/>
  <sheetViews>
    <sheetView tabSelected="1" zoomScale="85" zoomScaleNormal="85" zoomScaleSheetLayoutView="85" zoomScalePageLayoutView="85" workbookViewId="0">
      <selection activeCell="C23" sqref="C23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5703125" style="2" customWidth="1"/>
    <col min="5" max="5" width="18.7109375" style="2" customWidth="1"/>
    <col min="6" max="6" width="21.5703125" style="2" customWidth="1"/>
    <col min="7" max="7" width="17.28515625" style="2" customWidth="1"/>
    <col min="8" max="8" width="19.5703125" style="2" customWidth="1"/>
    <col min="9" max="15" width="9.140625" style="2"/>
    <col min="16" max="16" width="11.7109375" style="2" bestFit="1" customWidth="1"/>
    <col min="17" max="17" width="11" style="2" customWidth="1"/>
    <col min="18" max="18" width="10.28515625" style="2" customWidth="1"/>
    <col min="19" max="19" width="11" style="2" customWidth="1"/>
    <col min="20" max="16384" width="9.140625" style="2"/>
  </cols>
  <sheetData>
    <row r="1" spans="1:18" s="23" customFormat="1" ht="18.75">
      <c r="A1" s="30"/>
      <c r="B1" s="30"/>
      <c r="C1" s="30"/>
      <c r="D1" s="30"/>
      <c r="E1" s="28"/>
      <c r="F1" s="30"/>
      <c r="G1" s="30"/>
      <c r="H1" s="30"/>
    </row>
    <row r="2" spans="1:18" s="23" customFormat="1" ht="15.75">
      <c r="A2" s="30"/>
      <c r="B2" s="30"/>
      <c r="C2" s="30"/>
      <c r="D2" s="30"/>
      <c r="E2" s="30"/>
      <c r="F2" s="30"/>
      <c r="G2" s="399"/>
      <c r="H2" s="399"/>
      <c r="I2" s="24"/>
      <c r="J2" s="25"/>
    </row>
    <row r="3" spans="1:18" s="23" customFormat="1" ht="15.75">
      <c r="A3" s="30"/>
      <c r="B3" s="30"/>
      <c r="C3" s="30"/>
      <c r="D3" s="30"/>
      <c r="E3" s="30"/>
      <c r="F3" s="26"/>
      <c r="G3" s="27"/>
      <c r="H3" s="27"/>
      <c r="I3" s="27"/>
      <c r="J3" s="25"/>
    </row>
    <row r="4" spans="1:18" ht="21" customHeight="1">
      <c r="A4" s="402" t="s">
        <v>387</v>
      </c>
      <c r="B4" s="403"/>
      <c r="C4" s="403"/>
      <c r="D4" s="403"/>
      <c r="E4" s="403"/>
      <c r="F4" s="403"/>
      <c r="G4" s="403"/>
      <c r="H4" s="404"/>
    </row>
    <row r="5" spans="1:18" s="1" customFormat="1" ht="34.5" customHeight="1">
      <c r="A5" s="405" t="s">
        <v>0</v>
      </c>
      <c r="B5" s="405" t="s">
        <v>19</v>
      </c>
      <c r="C5" s="405" t="s">
        <v>163</v>
      </c>
      <c r="D5" s="405" t="s">
        <v>164</v>
      </c>
      <c r="E5" s="407" t="s">
        <v>388</v>
      </c>
      <c r="F5" s="408"/>
      <c r="G5" s="405" t="s">
        <v>10</v>
      </c>
      <c r="H5" s="405" t="s">
        <v>49</v>
      </c>
    </row>
    <row r="6" spans="1:18" s="1" customFormat="1" ht="45" customHeight="1">
      <c r="A6" s="406"/>
      <c r="B6" s="406"/>
      <c r="C6" s="406"/>
      <c r="D6" s="406"/>
      <c r="E6" s="13" t="s">
        <v>21</v>
      </c>
      <c r="F6" s="12" t="s">
        <v>22</v>
      </c>
      <c r="G6" s="406"/>
      <c r="H6" s="406"/>
    </row>
    <row r="7" spans="1:18" s="1" customFormat="1" ht="14.25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40">
        <v>8</v>
      </c>
    </row>
    <row r="8" spans="1:18" ht="45" customHeight="1">
      <c r="A8" s="14">
        <v>1</v>
      </c>
      <c r="B8" s="8" t="s">
        <v>5</v>
      </c>
      <c r="C8" s="9">
        <f>'2. Детальний звіт'!G222</f>
        <v>154595.04699999999</v>
      </c>
      <c r="D8" s="9">
        <f>'2. Детальний звіт'!I222</f>
        <v>24989.969999999998</v>
      </c>
      <c r="E8" s="9">
        <f>'2. Детальний звіт'!L222</f>
        <v>40564.265015000004</v>
      </c>
      <c r="F8" s="9">
        <f>'2. Детальний звіт'!N222</f>
        <v>13608.334078333335</v>
      </c>
      <c r="G8" s="10">
        <f>E8/D8</f>
        <v>1.6232218372010854</v>
      </c>
      <c r="H8" s="9">
        <f>D8-E8</f>
        <v>-15574.295015000007</v>
      </c>
      <c r="L8" s="192"/>
      <c r="M8" s="1"/>
      <c r="N8" s="1"/>
      <c r="O8" s="192"/>
      <c r="P8" s="192"/>
      <c r="Q8" s="1"/>
      <c r="R8" s="193"/>
    </row>
    <row r="9" spans="1:18" ht="45" customHeight="1">
      <c r="A9" s="14">
        <v>2</v>
      </c>
      <c r="B9" s="8" t="s">
        <v>12</v>
      </c>
      <c r="C9" s="9">
        <f>'2. Детальний звіт'!G245</f>
        <v>42082.873698999996</v>
      </c>
      <c r="D9" s="9">
        <f>'2. Детальний звіт'!I245</f>
        <v>8936.7008979999991</v>
      </c>
      <c r="E9" s="9">
        <f>'2. Детальний звіт'!L245</f>
        <v>16702.962370000001</v>
      </c>
      <c r="F9" s="9">
        <f>'2. Детальний звіт'!N245</f>
        <v>4110.25</v>
      </c>
      <c r="G9" s="10">
        <f t="shared" ref="G9:G13" si="0">E9/D9</f>
        <v>1.8690300325188307</v>
      </c>
      <c r="H9" s="9">
        <f t="shared" ref="H9:H14" si="1">D9-E9</f>
        <v>-7766.261472000002</v>
      </c>
      <c r="L9" s="192"/>
      <c r="M9" s="1"/>
      <c r="N9" s="1"/>
      <c r="O9" s="192"/>
      <c r="P9" s="192"/>
      <c r="Q9" s="1"/>
      <c r="R9" s="193"/>
    </row>
    <row r="10" spans="1:18" ht="61.5" customHeight="1">
      <c r="A10" s="14">
        <v>3</v>
      </c>
      <c r="B10" s="8" t="s">
        <v>40</v>
      </c>
      <c r="C10" s="9">
        <f>'2. Детальний звіт'!G249</f>
        <v>1400</v>
      </c>
      <c r="D10" s="9">
        <f>'2. Детальний звіт'!I249</f>
        <v>0</v>
      </c>
      <c r="E10" s="9">
        <f>'2. Детальний звіт'!L249</f>
        <v>0</v>
      </c>
      <c r="F10" s="9">
        <f>'2. Детальний звіт'!N249</f>
        <v>0</v>
      </c>
      <c r="G10" s="10" t="e">
        <f t="shared" si="0"/>
        <v>#DIV/0!</v>
      </c>
      <c r="H10" s="9">
        <f t="shared" si="1"/>
        <v>0</v>
      </c>
      <c r="L10" s="192"/>
      <c r="M10" s="1"/>
      <c r="N10" s="1"/>
      <c r="O10" s="192"/>
      <c r="P10" s="192"/>
      <c r="Q10" s="1"/>
      <c r="R10" s="193"/>
    </row>
    <row r="11" spans="1:18" ht="28.5" customHeight="1">
      <c r="A11" s="14">
        <v>4</v>
      </c>
      <c r="B11" s="8" t="s">
        <v>1</v>
      </c>
      <c r="C11" s="9">
        <f>'2. Детальний звіт'!G265</f>
        <v>15018.619999999999</v>
      </c>
      <c r="D11" s="9">
        <f>'2. Детальний звіт'!I265</f>
        <v>5965.8</v>
      </c>
      <c r="E11" s="9">
        <f>'2. Детальний звіт'!L265</f>
        <v>5994.3283000000001</v>
      </c>
      <c r="F11" s="9">
        <f>'2. Детальний звіт'!N265</f>
        <v>4917.1860000000006</v>
      </c>
      <c r="G11" s="10">
        <f t="shared" si="0"/>
        <v>1.0047819739179993</v>
      </c>
      <c r="H11" s="9">
        <f t="shared" si="1"/>
        <v>-28.528299999999945</v>
      </c>
      <c r="L11" s="192"/>
      <c r="M11" s="1"/>
      <c r="N11" s="1"/>
      <c r="O11" s="192"/>
      <c r="P11" s="192"/>
      <c r="Q11" s="1"/>
      <c r="R11" s="193"/>
    </row>
    <row r="12" spans="1:18" ht="33.75" customHeight="1">
      <c r="A12" s="14">
        <v>5</v>
      </c>
      <c r="B12" s="8" t="s">
        <v>13</v>
      </c>
      <c r="C12" s="9">
        <f>'2. Детальний звіт'!G275</f>
        <v>4455</v>
      </c>
      <c r="D12" s="9">
        <f>'2. Детальний звіт'!I275</f>
        <v>0</v>
      </c>
      <c r="E12" s="9">
        <f>'2. Детальний звіт'!L275</f>
        <v>0</v>
      </c>
      <c r="F12" s="9">
        <f>'2. Детальний звіт'!N275</f>
        <v>0</v>
      </c>
      <c r="G12" s="10" t="e">
        <f t="shared" si="0"/>
        <v>#DIV/0!</v>
      </c>
      <c r="H12" s="9">
        <f t="shared" si="1"/>
        <v>0</v>
      </c>
      <c r="L12" s="192"/>
      <c r="M12" s="1"/>
      <c r="N12" s="1"/>
      <c r="O12" s="192"/>
      <c r="P12" s="192"/>
      <c r="Q12" s="1"/>
      <c r="R12" s="193"/>
    </row>
    <row r="13" spans="1:18" ht="29.25" customHeight="1">
      <c r="A13" s="14">
        <v>6</v>
      </c>
      <c r="B13" s="8" t="s">
        <v>20</v>
      </c>
      <c r="C13" s="9">
        <f>'2. Детальний звіт'!G285</f>
        <v>14772.588</v>
      </c>
      <c r="D13" s="9">
        <f>'2. Детальний звіт'!I285</f>
        <v>5399.66</v>
      </c>
      <c r="E13" s="15">
        <f>'2. Детальний звіт'!L285</f>
        <v>6117.5</v>
      </c>
      <c r="F13" s="15">
        <f>'2. Детальний звіт'!N285</f>
        <v>6117.5</v>
      </c>
      <c r="G13" s="10">
        <f t="shared" si="0"/>
        <v>1.1329417037369021</v>
      </c>
      <c r="H13" s="9">
        <f t="shared" si="1"/>
        <v>-717.84000000000015</v>
      </c>
      <c r="L13" s="192"/>
      <c r="M13" s="1"/>
      <c r="N13" s="1"/>
      <c r="O13" s="194"/>
      <c r="P13" s="194"/>
      <c r="Q13" s="1"/>
      <c r="R13" s="193"/>
    </row>
    <row r="14" spans="1:18" ht="16.5" customHeight="1">
      <c r="A14" s="14">
        <v>7</v>
      </c>
      <c r="B14" s="8" t="s">
        <v>2</v>
      </c>
      <c r="C14" s="9">
        <f>'2. Детальний звіт'!G290</f>
        <v>1465.87</v>
      </c>
      <c r="D14" s="9">
        <f>'2. Детальний звіт'!I290</f>
        <v>1465.87</v>
      </c>
      <c r="E14" s="15">
        <f>'2. Детальний звіт'!L290</f>
        <v>0</v>
      </c>
      <c r="F14" s="15">
        <f>'2. Детальний звіт'!N290</f>
        <v>51.9</v>
      </c>
      <c r="G14" s="10">
        <f>E14/D14</f>
        <v>0</v>
      </c>
      <c r="H14" s="9">
        <f t="shared" si="1"/>
        <v>1465.87</v>
      </c>
      <c r="L14" s="192"/>
      <c r="M14" s="1"/>
      <c r="N14" s="1"/>
      <c r="O14" s="194"/>
      <c r="P14" s="194"/>
      <c r="Q14" s="1"/>
      <c r="R14" s="193"/>
    </row>
    <row r="15" spans="1:18" ht="15" customHeight="1">
      <c r="A15" s="400" t="s">
        <v>6</v>
      </c>
      <c r="B15" s="401"/>
      <c r="C15" s="50">
        <f>SUM(C8:C14)</f>
        <v>233789.99869899996</v>
      </c>
      <c r="D15" s="50">
        <f t="shared" ref="D15:H15" si="2">SUM(D8:D14)</f>
        <v>46758.000898000006</v>
      </c>
      <c r="E15" s="50">
        <f t="shared" si="2"/>
        <v>69379.055684999999</v>
      </c>
      <c r="F15" s="50">
        <f t="shared" si="2"/>
        <v>28805.170078333336</v>
      </c>
      <c r="G15" s="51">
        <f>E15/D15</f>
        <v>1.4837900327763494</v>
      </c>
      <c r="H15" s="50">
        <f t="shared" si="2"/>
        <v>-22621.054787000008</v>
      </c>
      <c r="L15" s="195"/>
      <c r="M15" s="1"/>
      <c r="N15" s="1"/>
      <c r="O15" s="195"/>
      <c r="P15" s="195"/>
      <c r="Q15" s="1"/>
      <c r="R15" s="193"/>
    </row>
    <row r="16" spans="1:18" ht="15">
      <c r="A16" s="16"/>
      <c r="B16" s="16"/>
      <c r="C16" s="16"/>
      <c r="D16" s="16"/>
      <c r="E16" s="16"/>
      <c r="F16" s="16"/>
      <c r="G16" s="16"/>
      <c r="H16" s="16"/>
    </row>
    <row r="17" spans="1:21" s="48" customFormat="1" ht="15">
      <c r="A17" s="45"/>
      <c r="B17" s="41" t="s">
        <v>50</v>
      </c>
      <c r="C17" s="52"/>
      <c r="D17" s="52"/>
      <c r="E17" s="397" t="s">
        <v>162</v>
      </c>
      <c r="F17" s="398"/>
      <c r="G17" s="52"/>
      <c r="H17" s="287"/>
      <c r="I17" s="287"/>
      <c r="J17" s="287"/>
      <c r="K17" s="287"/>
      <c r="L17" s="287"/>
      <c r="M17" s="46"/>
      <c r="N17" s="47"/>
      <c r="O17" s="47"/>
      <c r="P17" s="47"/>
      <c r="Q17" s="47"/>
      <c r="R17" s="47"/>
      <c r="S17" s="47"/>
      <c r="T17" s="47"/>
    </row>
    <row r="18" spans="1:21" s="48" customFormat="1" ht="15">
      <c r="A18" s="49"/>
      <c r="B18" s="43" t="s">
        <v>51</v>
      </c>
      <c r="C18" s="52"/>
      <c r="D18" s="52"/>
      <c r="E18" s="398" t="s">
        <v>18</v>
      </c>
      <c r="F18" s="398"/>
      <c r="G18" s="52"/>
      <c r="H18" s="52"/>
      <c r="I18" s="53"/>
      <c r="J18" s="53"/>
      <c r="K18" s="53"/>
      <c r="L18" s="52"/>
      <c r="M18" s="46"/>
      <c r="N18" s="47"/>
      <c r="O18" s="47"/>
      <c r="P18" s="47"/>
      <c r="Q18" s="47"/>
      <c r="R18" s="47"/>
      <c r="S18" s="47"/>
      <c r="T18" s="47"/>
    </row>
    <row r="19" spans="1:21" s="48" customFormat="1" ht="15">
      <c r="A19" s="52"/>
      <c r="B19" s="4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46"/>
      <c r="N19" s="46"/>
      <c r="O19" s="47"/>
      <c r="P19" s="47"/>
      <c r="Q19" s="47"/>
      <c r="R19" s="47"/>
      <c r="S19" s="47"/>
      <c r="T19" s="47"/>
    </row>
    <row r="20" spans="1:21" s="48" customFormat="1" ht="15">
      <c r="A20" s="52"/>
      <c r="B20" s="54" t="s">
        <v>389</v>
      </c>
      <c r="C20" s="52"/>
      <c r="D20" s="55" t="s">
        <v>52</v>
      </c>
      <c r="E20" s="56"/>
      <c r="F20" s="56"/>
      <c r="G20" s="56"/>
      <c r="H20" s="52"/>
      <c r="I20" s="52"/>
      <c r="J20" s="52"/>
      <c r="K20" s="52"/>
      <c r="L20" s="52"/>
      <c r="M20" s="46"/>
      <c r="N20" s="46"/>
      <c r="O20" s="47"/>
      <c r="P20" s="47"/>
      <c r="Q20" s="47"/>
      <c r="R20" s="47"/>
      <c r="S20" s="47"/>
      <c r="T20" s="47"/>
    </row>
    <row r="21" spans="1:21" s="29" customFormat="1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21" s="31" customFormat="1" ht="15">
      <c r="A22" s="41"/>
      <c r="B22" s="42"/>
      <c r="C22" s="42"/>
      <c r="D22" s="42"/>
      <c r="E22" s="289"/>
      <c r="F22" s="289"/>
      <c r="G22" s="289"/>
      <c r="H22" s="289"/>
      <c r="I22" s="32"/>
      <c r="J22" s="30"/>
      <c r="K22" s="30"/>
      <c r="L22" s="30"/>
      <c r="R22" s="292"/>
      <c r="S22" s="292"/>
    </row>
    <row r="23" spans="1:21" s="33" customFormat="1" ht="15" customHeight="1">
      <c r="A23" s="43"/>
      <c r="B23" s="42"/>
      <c r="C23" s="42"/>
      <c r="D23" s="42"/>
      <c r="E23" s="288"/>
      <c r="F23" s="288"/>
      <c r="G23" s="288"/>
      <c r="H23" s="288"/>
      <c r="I23" s="32"/>
      <c r="J23" s="17"/>
      <c r="K23" s="17"/>
      <c r="L23" s="17"/>
    </row>
    <row r="24" spans="1:21" s="31" customFormat="1">
      <c r="A24" s="34"/>
      <c r="B24" s="34"/>
      <c r="C24" s="44"/>
      <c r="D24" s="44"/>
      <c r="E24" s="44"/>
      <c r="F24" s="44"/>
      <c r="G24" s="44"/>
      <c r="H24" s="44"/>
      <c r="I24" s="30"/>
      <c r="J24" s="30"/>
      <c r="K24" s="30"/>
      <c r="L24" s="30"/>
    </row>
    <row r="25" spans="1:21" s="31" customFormat="1">
      <c r="A25" s="38"/>
      <c r="B25" s="38"/>
      <c r="C25" s="38"/>
      <c r="D25" s="35"/>
      <c r="E25" s="36"/>
      <c r="F25" s="44"/>
      <c r="G25" s="44"/>
      <c r="H25" s="44"/>
      <c r="I25" s="30"/>
      <c r="J25" s="30"/>
      <c r="K25" s="30"/>
      <c r="L25" s="30"/>
      <c r="P25" s="292"/>
      <c r="Q25" s="292"/>
      <c r="R25" s="292"/>
      <c r="S25" s="292"/>
      <c r="T25" s="292"/>
      <c r="U25" s="292"/>
    </row>
    <row r="26" spans="1:21" s="31" customFormat="1">
      <c r="A26" s="37"/>
      <c r="B26" s="37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21" s="3" customFormat="1" ht="15">
      <c r="A27" s="4"/>
      <c r="B27" s="4"/>
      <c r="C27" s="4"/>
      <c r="D27" s="4"/>
      <c r="E27" s="4"/>
      <c r="F27" s="4"/>
      <c r="G27" s="4"/>
      <c r="H27" s="4"/>
    </row>
    <row r="28" spans="1:21" ht="15">
      <c r="A28" s="11"/>
      <c r="B28" s="11"/>
      <c r="C28" s="11"/>
      <c r="D28" s="11"/>
      <c r="E28" s="11"/>
      <c r="F28" s="11"/>
      <c r="G28" s="11"/>
      <c r="H28" s="11"/>
    </row>
  </sheetData>
  <mergeCells count="12">
    <mergeCell ref="E17:F17"/>
    <mergeCell ref="E18:F18"/>
    <mergeCell ref="G2:H2"/>
    <mergeCell ref="A15:B15"/>
    <mergeCell ref="A4:H4"/>
    <mergeCell ref="B5:B6"/>
    <mergeCell ref="A5:A6"/>
    <mergeCell ref="C5:C6"/>
    <mergeCell ref="D5:D6"/>
    <mergeCell ref="G5:G6"/>
    <mergeCell ref="H5:H6"/>
    <mergeCell ref="E5:F5"/>
  </mergeCells>
  <phoneticPr fontId="0" type="noConversion"/>
  <pageMargins left="0.47244094488188981" right="0.15748031496062992" top="0.31496062992125984" bottom="0.35433070866141736" header="0.23622047244094491" footer="0.31496062992125984"/>
  <pageSetup paperSize="9" scale="95" orientation="landscape" r:id="rId1"/>
  <headerFooter alignWithMargins="0"/>
  <colBreaks count="1" manualBreakCount="1">
    <brk id="8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0"/>
  <sheetViews>
    <sheetView view="pageBreakPreview" zoomScale="70" zoomScaleNormal="25" zoomScaleSheetLayoutView="70" zoomScalePageLayoutView="55" workbookViewId="0">
      <pane ySplit="5" topLeftCell="A272" activePane="bottomLeft" state="frozen"/>
      <selection pane="bottomLeft" activeCell="G281" sqref="G281"/>
    </sheetView>
  </sheetViews>
  <sheetFormatPr defaultRowHeight="15"/>
  <cols>
    <col min="1" max="1" width="6.85546875" style="58" customWidth="1"/>
    <col min="2" max="2" width="42.140625" style="58" customWidth="1"/>
    <col min="3" max="3" width="9.7109375" style="58" customWidth="1"/>
    <col min="4" max="4" width="25.7109375" style="58" customWidth="1"/>
    <col min="5" max="5" width="12.28515625" style="58" customWidth="1"/>
    <col min="6" max="6" width="11" style="58" customWidth="1"/>
    <col min="7" max="7" width="21.5703125" style="58" customWidth="1"/>
    <col min="8" max="8" width="16.5703125" style="58" customWidth="1"/>
    <col min="9" max="9" width="14.7109375" style="58" customWidth="1"/>
    <col min="10" max="10" width="12.42578125" style="58" customWidth="1"/>
    <col min="11" max="11" width="10" style="58" customWidth="1"/>
    <col min="12" max="12" width="18.42578125" style="58" customWidth="1"/>
    <col min="13" max="13" width="10" style="58" customWidth="1"/>
    <col min="14" max="14" width="14.42578125" style="58" customWidth="1"/>
    <col min="15" max="15" width="27" style="58" customWidth="1"/>
    <col min="16" max="16" width="9.42578125" style="58" customWidth="1"/>
    <col min="17" max="17" width="18" style="58" customWidth="1"/>
    <col min="18" max="18" width="14.28515625" style="58" customWidth="1"/>
    <col min="19" max="19" width="16.85546875" style="185" customWidth="1"/>
    <col min="20" max="20" width="17.85546875" style="58" customWidth="1"/>
    <col min="21" max="16384" width="9.140625" style="58"/>
  </cols>
  <sheetData>
    <row r="1" spans="1:20" ht="25.5">
      <c r="A1" s="418" t="s">
        <v>382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20"/>
    </row>
    <row r="2" spans="1:20" s="59" customFormat="1" ht="18.75" customHeight="1">
      <c r="A2" s="409" t="s">
        <v>0</v>
      </c>
      <c r="B2" s="422" t="s">
        <v>24</v>
      </c>
      <c r="C2" s="409" t="s">
        <v>4</v>
      </c>
      <c r="D2" s="411" t="s">
        <v>165</v>
      </c>
      <c r="E2" s="425"/>
      <c r="F2" s="425"/>
      <c r="G2" s="426"/>
      <c r="H2" s="411" t="s">
        <v>166</v>
      </c>
      <c r="I2" s="425"/>
      <c r="J2" s="429" t="s">
        <v>54</v>
      </c>
      <c r="K2" s="429"/>
      <c r="L2" s="429"/>
      <c r="M2" s="429"/>
      <c r="N2" s="429"/>
      <c r="O2" s="409" t="s">
        <v>39</v>
      </c>
      <c r="P2" s="430" t="s">
        <v>9</v>
      </c>
      <c r="Q2" s="430"/>
      <c r="R2" s="409" t="s">
        <v>7</v>
      </c>
      <c r="S2" s="409" t="s">
        <v>3</v>
      </c>
      <c r="T2" s="409" t="s">
        <v>55</v>
      </c>
    </row>
    <row r="3" spans="1:20" s="59" customFormat="1" ht="15.75">
      <c r="A3" s="421"/>
      <c r="B3" s="423"/>
      <c r="C3" s="421"/>
      <c r="D3" s="412"/>
      <c r="E3" s="427"/>
      <c r="F3" s="427"/>
      <c r="G3" s="428"/>
      <c r="H3" s="412"/>
      <c r="I3" s="427"/>
      <c r="J3" s="431" t="s">
        <v>21</v>
      </c>
      <c r="K3" s="432"/>
      <c r="L3" s="432"/>
      <c r="M3" s="431" t="s">
        <v>22</v>
      </c>
      <c r="N3" s="432"/>
      <c r="O3" s="421"/>
      <c r="P3" s="430"/>
      <c r="Q3" s="430"/>
      <c r="R3" s="421"/>
      <c r="S3" s="421"/>
      <c r="T3" s="421"/>
    </row>
    <row r="4" spans="1:20" s="59" customFormat="1" ht="15.75" customHeight="1">
      <c r="A4" s="421"/>
      <c r="B4" s="423"/>
      <c r="C4" s="421"/>
      <c r="D4" s="409" t="s">
        <v>23</v>
      </c>
      <c r="E4" s="409" t="s">
        <v>75</v>
      </c>
      <c r="F4" s="409" t="s">
        <v>56</v>
      </c>
      <c r="G4" s="409" t="s">
        <v>57</v>
      </c>
      <c r="H4" s="411" t="s">
        <v>56</v>
      </c>
      <c r="I4" s="411" t="s">
        <v>57</v>
      </c>
      <c r="J4" s="409" t="s">
        <v>75</v>
      </c>
      <c r="K4" s="411" t="s">
        <v>58</v>
      </c>
      <c r="L4" s="411" t="s">
        <v>76</v>
      </c>
      <c r="M4" s="411" t="s">
        <v>58</v>
      </c>
      <c r="N4" s="411" t="s">
        <v>57</v>
      </c>
      <c r="O4" s="421"/>
      <c r="P4" s="409" t="s">
        <v>56</v>
      </c>
      <c r="Q4" s="409" t="s">
        <v>57</v>
      </c>
      <c r="R4" s="421"/>
      <c r="S4" s="421"/>
      <c r="T4" s="421"/>
    </row>
    <row r="5" spans="1:20" s="59" customFormat="1" ht="70.5" customHeight="1">
      <c r="A5" s="410"/>
      <c r="B5" s="424"/>
      <c r="C5" s="410"/>
      <c r="D5" s="410"/>
      <c r="E5" s="410"/>
      <c r="F5" s="410"/>
      <c r="G5" s="410"/>
      <c r="H5" s="412"/>
      <c r="I5" s="412"/>
      <c r="J5" s="410"/>
      <c r="K5" s="412"/>
      <c r="L5" s="412"/>
      <c r="M5" s="412"/>
      <c r="N5" s="412"/>
      <c r="O5" s="410"/>
      <c r="P5" s="410"/>
      <c r="Q5" s="410"/>
      <c r="R5" s="410"/>
      <c r="S5" s="410"/>
      <c r="T5" s="410"/>
    </row>
    <row r="6" spans="1:20" s="59" customFormat="1" ht="15.75">
      <c r="A6" s="110">
        <v>1</v>
      </c>
      <c r="B6" s="110">
        <v>2</v>
      </c>
      <c r="C6" s="110">
        <v>3</v>
      </c>
      <c r="D6" s="110">
        <v>4</v>
      </c>
      <c r="E6" s="110">
        <v>5</v>
      </c>
      <c r="F6" s="110">
        <v>6</v>
      </c>
      <c r="G6" s="110">
        <v>7</v>
      </c>
      <c r="H6" s="110">
        <v>8</v>
      </c>
      <c r="I6" s="110">
        <v>11</v>
      </c>
      <c r="J6" s="110">
        <v>14</v>
      </c>
      <c r="K6" s="110">
        <v>15</v>
      </c>
      <c r="L6" s="110">
        <v>18</v>
      </c>
      <c r="M6" s="110">
        <v>21</v>
      </c>
      <c r="N6" s="110">
        <v>24</v>
      </c>
      <c r="O6" s="110">
        <v>27</v>
      </c>
      <c r="P6" s="110">
        <v>28</v>
      </c>
      <c r="Q6" s="110">
        <v>29</v>
      </c>
      <c r="R6" s="110">
        <v>30</v>
      </c>
      <c r="S6" s="110">
        <v>31</v>
      </c>
      <c r="T6" s="110">
        <v>32</v>
      </c>
    </row>
    <row r="7" spans="1:20" s="60" customFormat="1" ht="18.75">
      <c r="A7" s="434" t="s">
        <v>25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6"/>
    </row>
    <row r="8" spans="1:20" s="60" customFormat="1" ht="60.75" customHeight="1">
      <c r="A8" s="197" t="s">
        <v>102</v>
      </c>
      <c r="B8" s="213" t="s">
        <v>46</v>
      </c>
      <c r="C8" s="197" t="s">
        <v>41</v>
      </c>
      <c r="D8" s="251" t="s">
        <v>254</v>
      </c>
      <c r="E8" s="209">
        <f>G8/F8</f>
        <v>613.1667349975703</v>
      </c>
      <c r="F8" s="231">
        <f>F10+F16+F22+F28+F33+F39+F44+F46+F49+F56+F63+F67+F70+F74+F78+F81+F86+F92+F94+F100+F103+F106+F112+F115+F117+F119+F122+F127+F129+F134+F140+F145+F147+F150+F152</f>
        <v>131.71200000000002</v>
      </c>
      <c r="G8" s="211">
        <f>G10+G16+G22+G28+G33+G39+G44+G46+G49+G56+G63+G67+G70+G74+G78+G81+G86+G92+G94+G100+G103+G106+G112+G115+G117+G119+G122+G127+G129+G134+G140+G145+G147+G150+G152</f>
        <v>80761.416999999987</v>
      </c>
      <c r="H8" s="231">
        <f t="shared" ref="H8:N8" si="0">H10+H16+H22+H28+H33+H39+H44+H46+H49+H56+H63+H67+H70+H74+H78+H81+H86+H92+H94+H100+H103+H106+H112+H115+H117+H119+H122+H127+H129+H134+H140+H145+H147+H150+H152</f>
        <v>41.6871663492472</v>
      </c>
      <c r="I8" s="211">
        <f t="shared" si="0"/>
        <v>23839.279999999999</v>
      </c>
      <c r="J8" s="211">
        <f t="shared" si="0"/>
        <v>4400.7870224246153</v>
      </c>
      <c r="K8" s="211">
        <f t="shared" si="0"/>
        <v>21.909000000000002</v>
      </c>
      <c r="L8" s="211">
        <f t="shared" si="0"/>
        <v>13608.334078333335</v>
      </c>
      <c r="M8" s="211">
        <f t="shared" si="0"/>
        <v>21.909000000000002</v>
      </c>
      <c r="N8" s="211">
        <f t="shared" si="0"/>
        <v>13608.334078333335</v>
      </c>
      <c r="O8" s="294"/>
      <c r="P8" s="234">
        <f t="shared" ref="P8:P113" si="1">H8-K8</f>
        <v>19.778166349247197</v>
      </c>
      <c r="Q8" s="87">
        <f>I8-L8</f>
        <v>10230.945921666664</v>
      </c>
      <c r="R8" s="226">
        <f t="shared" ref="R8:R199" si="2">(J8-E8)/E8</f>
        <v>6.1771457439582944</v>
      </c>
      <c r="S8" s="295"/>
      <c r="T8" s="171"/>
    </row>
    <row r="9" spans="1:20" s="60" customFormat="1" ht="15.75">
      <c r="A9" s="169"/>
      <c r="B9" s="314" t="s">
        <v>89</v>
      </c>
      <c r="C9" s="303"/>
      <c r="D9" s="303"/>
      <c r="E9" s="304"/>
      <c r="F9" s="212"/>
      <c r="G9" s="212"/>
      <c r="H9" s="232"/>
      <c r="I9" s="87"/>
      <c r="J9" s="86"/>
      <c r="K9" s="90"/>
      <c r="L9" s="86"/>
      <c r="M9" s="90"/>
      <c r="N9" s="90"/>
      <c r="O9" s="294"/>
      <c r="P9" s="234"/>
      <c r="Q9" s="87"/>
      <c r="R9" s="226"/>
      <c r="S9" s="295"/>
      <c r="T9" s="188"/>
    </row>
    <row r="10" spans="1:20" s="318" customFormat="1" ht="28.5" customHeight="1">
      <c r="A10" s="244" t="s">
        <v>103</v>
      </c>
      <c r="B10" s="320" t="s">
        <v>167</v>
      </c>
      <c r="C10" s="197" t="s">
        <v>41</v>
      </c>
      <c r="D10" s="285" t="s">
        <v>161</v>
      </c>
      <c r="E10" s="321">
        <f t="shared" ref="E10:E32" si="3">G10/F10</f>
        <v>613.19800569800566</v>
      </c>
      <c r="F10" s="322">
        <f>SUM(F11:F12)</f>
        <v>7.0200000000000005</v>
      </c>
      <c r="G10" s="323">
        <f>SUM(G11:G14)</f>
        <v>4304.6499999999996</v>
      </c>
      <c r="H10" s="322">
        <f>SUM(H11:H12)</f>
        <v>7.0200000000000005</v>
      </c>
      <c r="I10" s="323">
        <f>SUM(I11:I14)</f>
        <v>4304.6499999999996</v>
      </c>
      <c r="J10" s="246"/>
      <c r="K10" s="255"/>
      <c r="L10" s="248"/>
      <c r="M10" s="255"/>
      <c r="N10" s="248"/>
      <c r="O10" s="294"/>
      <c r="P10" s="234">
        <f t="shared" si="1"/>
        <v>7.0200000000000005</v>
      </c>
      <c r="Q10" s="87">
        <f t="shared" ref="Q10:Q199" si="4">I10-L10</f>
        <v>4304.6499999999996</v>
      </c>
      <c r="R10" s="226">
        <f t="shared" si="2"/>
        <v>-1</v>
      </c>
      <c r="S10" s="324"/>
      <c r="T10" s="190"/>
    </row>
    <row r="11" spans="1:20" s="60" customFormat="1" ht="15.75">
      <c r="A11" s="169"/>
      <c r="B11" s="296" t="s">
        <v>156</v>
      </c>
      <c r="C11" s="208" t="s">
        <v>41</v>
      </c>
      <c r="D11" s="217" t="s">
        <v>161</v>
      </c>
      <c r="E11" s="179">
        <f t="shared" si="3"/>
        <v>571.14571920488333</v>
      </c>
      <c r="F11" s="280">
        <v>6.3890000000000002</v>
      </c>
      <c r="G11" s="297">
        <v>3649.0499999999997</v>
      </c>
      <c r="H11" s="232">
        <f t="shared" ref="H11:H43" si="5">F11</f>
        <v>6.3890000000000002</v>
      </c>
      <c r="I11" s="135">
        <f t="shared" ref="I11:I43" si="6">G11</f>
        <v>3649.0499999999997</v>
      </c>
      <c r="J11" s="177"/>
      <c r="K11" s="280"/>
      <c r="L11" s="281"/>
      <c r="M11" s="280"/>
      <c r="N11" s="281"/>
      <c r="O11" s="319"/>
      <c r="P11" s="236">
        <f t="shared" ref="P11:P74" si="7">H11-K11</f>
        <v>6.3890000000000002</v>
      </c>
      <c r="Q11" s="86">
        <f t="shared" ref="Q11:Q74" si="8">I11-L11</f>
        <v>3649.0499999999997</v>
      </c>
      <c r="R11" s="227">
        <f t="shared" ref="R11:R74" si="9">(J11-E11)/E11</f>
        <v>-1</v>
      </c>
      <c r="S11" s="295"/>
      <c r="T11" s="188"/>
    </row>
    <row r="12" spans="1:20" s="60" customFormat="1" ht="15.75">
      <c r="A12" s="169"/>
      <c r="B12" s="296" t="s">
        <v>157</v>
      </c>
      <c r="C12" s="208" t="s">
        <v>41</v>
      </c>
      <c r="D12" s="217" t="s">
        <v>161</v>
      </c>
      <c r="E12" s="179">
        <f t="shared" si="3"/>
        <v>626.94136291600637</v>
      </c>
      <c r="F12" s="280">
        <v>0.63100000000000001</v>
      </c>
      <c r="G12" s="297">
        <v>395.6</v>
      </c>
      <c r="H12" s="232">
        <f t="shared" si="5"/>
        <v>0.63100000000000001</v>
      </c>
      <c r="I12" s="135">
        <f t="shared" si="6"/>
        <v>395.6</v>
      </c>
      <c r="J12" s="177"/>
      <c r="K12" s="175"/>
      <c r="L12" s="175"/>
      <c r="M12" s="175"/>
      <c r="N12" s="273"/>
      <c r="O12" s="319"/>
      <c r="P12" s="236">
        <f t="shared" si="7"/>
        <v>0.63100000000000001</v>
      </c>
      <c r="Q12" s="86">
        <f t="shared" si="8"/>
        <v>395.6</v>
      </c>
      <c r="R12" s="227">
        <f t="shared" si="9"/>
        <v>-1</v>
      </c>
      <c r="S12" s="295"/>
      <c r="T12" s="188"/>
    </row>
    <row r="13" spans="1:20" s="60" customFormat="1" ht="31.5">
      <c r="A13" s="169"/>
      <c r="B13" s="296" t="s">
        <v>168</v>
      </c>
      <c r="C13" s="208" t="s">
        <v>42</v>
      </c>
      <c r="D13" s="217" t="s">
        <v>161</v>
      </c>
      <c r="E13" s="179">
        <f t="shared" si="3"/>
        <v>80</v>
      </c>
      <c r="F13" s="282">
        <v>2</v>
      </c>
      <c r="G13" s="297">
        <v>160</v>
      </c>
      <c r="H13" s="384">
        <f t="shared" si="5"/>
        <v>2</v>
      </c>
      <c r="I13" s="135">
        <f t="shared" si="6"/>
        <v>160</v>
      </c>
      <c r="J13" s="177"/>
      <c r="K13" s="90"/>
      <c r="L13" s="86"/>
      <c r="M13" s="90"/>
      <c r="N13" s="90"/>
      <c r="O13" s="319"/>
      <c r="P13" s="89">
        <f t="shared" si="7"/>
        <v>2</v>
      </c>
      <c r="Q13" s="86">
        <f t="shared" si="8"/>
        <v>160</v>
      </c>
      <c r="R13" s="227">
        <f t="shared" si="9"/>
        <v>-1</v>
      </c>
      <c r="S13" s="295"/>
      <c r="T13" s="188"/>
    </row>
    <row r="14" spans="1:20" s="60" customFormat="1" ht="15.75">
      <c r="A14" s="169"/>
      <c r="B14" s="296" t="s">
        <v>169</v>
      </c>
      <c r="C14" s="208" t="s">
        <v>42</v>
      </c>
      <c r="D14" s="217" t="s">
        <v>161</v>
      </c>
      <c r="E14" s="179">
        <f t="shared" si="3"/>
        <v>100</v>
      </c>
      <c r="F14" s="282">
        <v>1</v>
      </c>
      <c r="G14" s="297">
        <v>100</v>
      </c>
      <c r="H14" s="384">
        <f t="shared" si="5"/>
        <v>1</v>
      </c>
      <c r="I14" s="135">
        <f t="shared" si="6"/>
        <v>100</v>
      </c>
      <c r="J14" s="177"/>
      <c r="K14" s="90"/>
      <c r="L14" s="86"/>
      <c r="M14" s="90"/>
      <c r="N14" s="90"/>
      <c r="O14" s="319"/>
      <c r="P14" s="89">
        <f t="shared" si="7"/>
        <v>1</v>
      </c>
      <c r="Q14" s="86">
        <f t="shared" si="8"/>
        <v>100</v>
      </c>
      <c r="R14" s="227">
        <f t="shared" si="9"/>
        <v>-1</v>
      </c>
      <c r="S14" s="295"/>
      <c r="T14" s="188"/>
    </row>
    <row r="15" spans="1:20" s="60" customFormat="1" ht="15.75">
      <c r="A15" s="169"/>
      <c r="B15" s="315" t="s">
        <v>90</v>
      </c>
      <c r="C15" s="306"/>
      <c r="D15" s="306"/>
      <c r="E15" s="179"/>
      <c r="F15" s="281"/>
      <c r="G15" s="307"/>
      <c r="H15" s="255"/>
      <c r="I15" s="248"/>
      <c r="J15" s="177"/>
      <c r="K15" s="131"/>
      <c r="L15" s="86"/>
      <c r="M15" s="131"/>
      <c r="N15" s="90"/>
      <c r="O15" s="294"/>
      <c r="P15" s="236"/>
      <c r="Q15" s="86"/>
      <c r="R15" s="227"/>
      <c r="S15" s="295"/>
      <c r="T15" s="188"/>
    </row>
    <row r="16" spans="1:20" s="249" customFormat="1" ht="15.75">
      <c r="A16" s="244" t="s">
        <v>104</v>
      </c>
      <c r="B16" s="320" t="s">
        <v>170</v>
      </c>
      <c r="C16" s="197" t="s">
        <v>41</v>
      </c>
      <c r="D16" s="285" t="s">
        <v>77</v>
      </c>
      <c r="E16" s="321">
        <f t="shared" si="3"/>
        <v>618.81793994678833</v>
      </c>
      <c r="F16" s="325">
        <f>SUM(F17:F18)</f>
        <v>7.8930000000000007</v>
      </c>
      <c r="G16" s="326">
        <f>SUM(G17:G21)</f>
        <v>4884.3300000000008</v>
      </c>
      <c r="H16" s="325">
        <f>SUM(H17:H18)</f>
        <v>7.8930000000000007</v>
      </c>
      <c r="I16" s="326">
        <f>SUM(I17:I21)</f>
        <v>4884.3300000000008</v>
      </c>
      <c r="J16" s="246">
        <f>L16/K16</f>
        <v>612.745</v>
      </c>
      <c r="K16" s="386">
        <f>K17+K18</f>
        <v>3.4000000000000004</v>
      </c>
      <c r="L16" s="87">
        <f>L17+L18+L19+L20+L21</f>
        <v>2083.3330000000001</v>
      </c>
      <c r="M16" s="234">
        <f>M17+M18</f>
        <v>3.4000000000000004</v>
      </c>
      <c r="N16" s="87">
        <f>N17+N18+N19+N20+N21</f>
        <v>2083.3330000000001</v>
      </c>
      <c r="O16" s="294"/>
      <c r="P16" s="234">
        <f t="shared" si="7"/>
        <v>4.4930000000000003</v>
      </c>
      <c r="Q16" s="87">
        <f t="shared" si="8"/>
        <v>2800.9970000000008</v>
      </c>
      <c r="R16" s="226">
        <f t="shared" si="9"/>
        <v>-9.8137748677915373E-3</v>
      </c>
      <c r="S16" s="324"/>
      <c r="T16" s="190"/>
    </row>
    <row r="17" spans="1:20" s="60" customFormat="1" ht="15.75">
      <c r="A17" s="169"/>
      <c r="B17" s="298" t="s">
        <v>156</v>
      </c>
      <c r="C17" s="208" t="s">
        <v>41</v>
      </c>
      <c r="D17" s="217" t="s">
        <v>77</v>
      </c>
      <c r="E17" s="179">
        <f t="shared" si="3"/>
        <v>556.48861646234684</v>
      </c>
      <c r="F17" s="263">
        <v>6.8520000000000003</v>
      </c>
      <c r="G17" s="270">
        <v>3813.0600000000004</v>
      </c>
      <c r="H17" s="232">
        <f t="shared" si="5"/>
        <v>6.8520000000000003</v>
      </c>
      <c r="I17" s="135">
        <f t="shared" si="6"/>
        <v>3813.0600000000004</v>
      </c>
      <c r="J17" s="177">
        <f>L17/K17</f>
        <v>551.70346153846151</v>
      </c>
      <c r="K17" s="286">
        <v>2.6</v>
      </c>
      <c r="L17" s="86">
        <f>1721.3148/1.2</f>
        <v>1434.4290000000001</v>
      </c>
      <c r="M17" s="236">
        <v>2.6</v>
      </c>
      <c r="N17" s="86">
        <f>1721.3148/1.2</f>
        <v>1434.4290000000001</v>
      </c>
      <c r="O17" s="319"/>
      <c r="P17" s="236">
        <f t="shared" ref="P17" si="10">H17-K17</f>
        <v>4.2520000000000007</v>
      </c>
      <c r="Q17" s="86">
        <f t="shared" ref="Q17" si="11">I17-L17</f>
        <v>2378.6310000000003</v>
      </c>
      <c r="R17" s="227">
        <f t="shared" ref="R17" si="12">(J17-E17)/E17</f>
        <v>-8.5988370333701207E-3</v>
      </c>
      <c r="S17" s="295"/>
      <c r="T17" s="188"/>
    </row>
    <row r="18" spans="1:20" s="60" customFormat="1" ht="15.75">
      <c r="A18" s="169"/>
      <c r="B18" s="298" t="s">
        <v>157</v>
      </c>
      <c r="C18" s="208" t="s">
        <v>41</v>
      </c>
      <c r="D18" s="217" t="s">
        <v>77</v>
      </c>
      <c r="E18" s="179">
        <f t="shared" si="3"/>
        <v>557.37752161383287</v>
      </c>
      <c r="F18" s="263">
        <v>1.0409999999999999</v>
      </c>
      <c r="G18" s="270">
        <v>580.23</v>
      </c>
      <c r="H18" s="232">
        <f t="shared" si="5"/>
        <v>1.0409999999999999</v>
      </c>
      <c r="I18" s="135">
        <f t="shared" si="6"/>
        <v>580.23</v>
      </c>
      <c r="J18" s="177">
        <f t="shared" ref="J18:J24" si="13">L18/K18</f>
        <v>560.91375000000005</v>
      </c>
      <c r="K18" s="385">
        <v>0.8</v>
      </c>
      <c r="L18" s="175">
        <f>538.4772/1.2</f>
        <v>448.73100000000005</v>
      </c>
      <c r="M18" s="337">
        <v>0.8</v>
      </c>
      <c r="N18" s="175">
        <f>538.4772/1.2</f>
        <v>448.73100000000005</v>
      </c>
      <c r="O18" s="319"/>
      <c r="P18" s="236">
        <f t="shared" si="7"/>
        <v>0.24099999999999988</v>
      </c>
      <c r="Q18" s="86">
        <f t="shared" si="8"/>
        <v>131.49899999999997</v>
      </c>
      <c r="R18" s="227">
        <f t="shared" si="9"/>
        <v>6.3444043741275628E-3</v>
      </c>
      <c r="S18" s="295"/>
      <c r="T18" s="188"/>
    </row>
    <row r="19" spans="1:20" s="60" customFormat="1" ht="31.5">
      <c r="A19" s="169"/>
      <c r="B19" s="298" t="s">
        <v>171</v>
      </c>
      <c r="C19" s="208" t="s">
        <v>42</v>
      </c>
      <c r="D19" s="217" t="s">
        <v>77</v>
      </c>
      <c r="E19" s="179">
        <f t="shared" si="3"/>
        <v>134.27000000000001</v>
      </c>
      <c r="F19" s="265">
        <v>2</v>
      </c>
      <c r="G19" s="270">
        <v>268.54000000000002</v>
      </c>
      <c r="H19" s="384">
        <f t="shared" si="5"/>
        <v>2</v>
      </c>
      <c r="I19" s="135">
        <f t="shared" si="6"/>
        <v>268.54000000000002</v>
      </c>
      <c r="J19" s="242"/>
      <c r="K19" s="178"/>
      <c r="L19" s="337"/>
      <c r="M19" s="389"/>
      <c r="N19" s="337"/>
      <c r="O19" s="319"/>
      <c r="P19" s="89">
        <f t="shared" si="7"/>
        <v>2</v>
      </c>
      <c r="Q19" s="86">
        <f t="shared" si="8"/>
        <v>268.54000000000002</v>
      </c>
      <c r="R19" s="227">
        <f t="shared" si="9"/>
        <v>-1</v>
      </c>
      <c r="S19" s="295"/>
      <c r="T19" s="188"/>
    </row>
    <row r="20" spans="1:20" s="60" customFormat="1" ht="31.5">
      <c r="A20" s="169"/>
      <c r="B20" s="298" t="s">
        <v>172</v>
      </c>
      <c r="C20" s="208" t="s">
        <v>42</v>
      </c>
      <c r="D20" s="217" t="s">
        <v>77</v>
      </c>
      <c r="E20" s="179">
        <f t="shared" si="3"/>
        <v>109.25</v>
      </c>
      <c r="F20" s="265">
        <v>1</v>
      </c>
      <c r="G20" s="270">
        <v>109.25</v>
      </c>
      <c r="H20" s="384">
        <f t="shared" si="5"/>
        <v>1</v>
      </c>
      <c r="I20" s="135">
        <f t="shared" si="6"/>
        <v>109.25</v>
      </c>
      <c r="J20" s="177">
        <f t="shared" si="13"/>
        <v>134.995</v>
      </c>
      <c r="K20" s="178">
        <v>1</v>
      </c>
      <c r="L20" s="175">
        <f>161.994/1.2</f>
        <v>134.995</v>
      </c>
      <c r="M20" s="390">
        <v>1</v>
      </c>
      <c r="N20" s="175">
        <f>161.994/1.2</f>
        <v>134.995</v>
      </c>
      <c r="O20" s="319"/>
      <c r="P20" s="89">
        <f t="shared" si="7"/>
        <v>0</v>
      </c>
      <c r="Q20" s="86">
        <f t="shared" si="8"/>
        <v>-25.745000000000005</v>
      </c>
      <c r="R20" s="227">
        <f t="shared" si="9"/>
        <v>0.23565217391304352</v>
      </c>
      <c r="S20" s="295"/>
      <c r="T20" s="188"/>
    </row>
    <row r="21" spans="1:20" s="60" customFormat="1" ht="15.75">
      <c r="A21" s="169"/>
      <c r="B21" s="298" t="s">
        <v>173</v>
      </c>
      <c r="C21" s="208" t="s">
        <v>42</v>
      </c>
      <c r="D21" s="217" t="s">
        <v>161</v>
      </c>
      <c r="E21" s="179">
        <f t="shared" si="3"/>
        <v>113.25</v>
      </c>
      <c r="F21" s="265">
        <v>1</v>
      </c>
      <c r="G21" s="270">
        <v>113.25</v>
      </c>
      <c r="H21" s="384">
        <f t="shared" si="5"/>
        <v>1</v>
      </c>
      <c r="I21" s="135">
        <f t="shared" si="6"/>
        <v>113.25</v>
      </c>
      <c r="J21" s="177">
        <f t="shared" si="13"/>
        <v>65.177999999999997</v>
      </c>
      <c r="K21" s="178">
        <v>1</v>
      </c>
      <c r="L21" s="175">
        <f>78.2136/1.2</f>
        <v>65.177999999999997</v>
      </c>
      <c r="M21" s="390">
        <v>1</v>
      </c>
      <c r="N21" s="175">
        <f>78.2136/1.2</f>
        <v>65.177999999999997</v>
      </c>
      <c r="O21" s="319"/>
      <c r="P21" s="236">
        <f t="shared" si="7"/>
        <v>0</v>
      </c>
      <c r="Q21" s="86">
        <f t="shared" si="8"/>
        <v>48.072000000000003</v>
      </c>
      <c r="R21" s="227">
        <f t="shared" si="9"/>
        <v>-0.42447682119205299</v>
      </c>
      <c r="S21" s="295"/>
      <c r="T21" s="188"/>
    </row>
    <row r="22" spans="1:20" s="249" customFormat="1" ht="15.75">
      <c r="A22" s="244" t="s">
        <v>105</v>
      </c>
      <c r="B22" s="320" t="s">
        <v>174</v>
      </c>
      <c r="C22" s="197" t="s">
        <v>41</v>
      </c>
      <c r="D22" s="285" t="s">
        <v>161</v>
      </c>
      <c r="E22" s="321">
        <f t="shared" si="3"/>
        <v>441.64007548464576</v>
      </c>
      <c r="F22" s="325">
        <f>SUM(F23:F24)</f>
        <v>5.8289999999999997</v>
      </c>
      <c r="G22" s="328">
        <f>SUM(G23:G26)</f>
        <v>2574.3200000000002</v>
      </c>
      <c r="H22" s="325">
        <f>SUM(H23:H24)</f>
        <v>5.8289999999999997</v>
      </c>
      <c r="I22" s="328">
        <f>SUM(I23:I26)</f>
        <v>2574.3200000000002</v>
      </c>
      <c r="J22" s="321">
        <f t="shared" si="13"/>
        <v>408.38721311475416</v>
      </c>
      <c r="K22" s="325">
        <f>SUM(K23:K24)</f>
        <v>3.05</v>
      </c>
      <c r="L22" s="326">
        <f>SUM(L23:L26)</f>
        <v>1245.5810000000001</v>
      </c>
      <c r="M22" s="387">
        <f>SUM(M23:M24)</f>
        <v>3.05</v>
      </c>
      <c r="N22" s="326">
        <f>SUM(N23:N26)</f>
        <v>1245.5810000000001</v>
      </c>
      <c r="O22" s="294"/>
      <c r="P22" s="234">
        <f t="shared" si="7"/>
        <v>2.7789999999999999</v>
      </c>
      <c r="Q22" s="87">
        <f t="shared" si="8"/>
        <v>1328.739</v>
      </c>
      <c r="R22" s="226">
        <f t="shared" si="9"/>
        <v>-7.5294032891830912E-2</v>
      </c>
      <c r="S22" s="324"/>
      <c r="T22" s="190"/>
    </row>
    <row r="23" spans="1:20" s="60" customFormat="1" ht="15.75">
      <c r="A23" s="169"/>
      <c r="B23" s="296" t="s">
        <v>156</v>
      </c>
      <c r="C23" s="208" t="s">
        <v>41</v>
      </c>
      <c r="D23" s="217" t="s">
        <v>161</v>
      </c>
      <c r="E23" s="179">
        <f t="shared" si="3"/>
        <v>408.53100541842269</v>
      </c>
      <c r="F23" s="263">
        <v>4.9829999999999997</v>
      </c>
      <c r="G23" s="266">
        <v>2035.71</v>
      </c>
      <c r="H23" s="232">
        <f t="shared" si="5"/>
        <v>4.9829999999999997</v>
      </c>
      <c r="I23" s="135">
        <f t="shared" si="6"/>
        <v>2035.71</v>
      </c>
      <c r="J23" s="179">
        <f t="shared" si="13"/>
        <v>404.96520000000004</v>
      </c>
      <c r="K23" s="263">
        <v>2.5</v>
      </c>
      <c r="L23" s="270">
        <f>1214.8956/1.2</f>
        <v>1012.4130000000001</v>
      </c>
      <c r="M23" s="388">
        <v>2.5</v>
      </c>
      <c r="N23" s="270">
        <f>1214.8956/1.2</f>
        <v>1012.4130000000001</v>
      </c>
      <c r="O23" s="319"/>
      <c r="P23" s="236">
        <f t="shared" si="7"/>
        <v>2.4829999999999997</v>
      </c>
      <c r="Q23" s="86">
        <f t="shared" si="8"/>
        <v>1023.2969999999999</v>
      </c>
      <c r="R23" s="227">
        <f t="shared" si="9"/>
        <v>-8.7283593439144522E-3</v>
      </c>
      <c r="S23" s="295"/>
      <c r="T23" s="188"/>
    </row>
    <row r="24" spans="1:20" s="60" customFormat="1" ht="15.75">
      <c r="A24" s="169"/>
      <c r="B24" s="296" t="s">
        <v>157</v>
      </c>
      <c r="C24" s="208" t="s">
        <v>41</v>
      </c>
      <c r="D24" s="217" t="s">
        <v>161</v>
      </c>
      <c r="E24" s="179">
        <f t="shared" si="3"/>
        <v>447.52955082742318</v>
      </c>
      <c r="F24" s="263">
        <v>0.84599999999999997</v>
      </c>
      <c r="G24" s="266">
        <v>378.61</v>
      </c>
      <c r="H24" s="232">
        <f t="shared" si="5"/>
        <v>0.84599999999999997</v>
      </c>
      <c r="I24" s="135">
        <f t="shared" si="6"/>
        <v>378.61</v>
      </c>
      <c r="J24" s="179">
        <f t="shared" si="13"/>
        <v>423.94181818181818</v>
      </c>
      <c r="K24" s="263">
        <v>0.55000000000000004</v>
      </c>
      <c r="L24" s="270">
        <f>279.8016/1.2</f>
        <v>233.16800000000001</v>
      </c>
      <c r="M24" s="388">
        <v>0.55000000000000004</v>
      </c>
      <c r="N24" s="270">
        <f>279.8016/1.2</f>
        <v>233.16800000000001</v>
      </c>
      <c r="O24" s="319"/>
      <c r="P24" s="236">
        <f t="shared" si="7"/>
        <v>0.29599999999999993</v>
      </c>
      <c r="Q24" s="86">
        <f t="shared" si="8"/>
        <v>145.44200000000001</v>
      </c>
      <c r="R24" s="227">
        <f t="shared" si="9"/>
        <v>-5.2706536589582499E-2</v>
      </c>
      <c r="S24" s="295"/>
      <c r="T24" s="188"/>
    </row>
    <row r="25" spans="1:20" s="60" customFormat="1" ht="31.5">
      <c r="A25" s="169"/>
      <c r="B25" s="296" t="s">
        <v>158</v>
      </c>
      <c r="C25" s="208" t="s">
        <v>42</v>
      </c>
      <c r="D25" s="217" t="s">
        <v>161</v>
      </c>
      <c r="E25" s="179">
        <f t="shared" si="3"/>
        <v>80</v>
      </c>
      <c r="F25" s="265">
        <v>1</v>
      </c>
      <c r="G25" s="266">
        <v>80</v>
      </c>
      <c r="H25" s="384">
        <f t="shared" si="5"/>
        <v>1</v>
      </c>
      <c r="I25" s="135">
        <f t="shared" si="6"/>
        <v>80</v>
      </c>
      <c r="J25" s="177"/>
      <c r="K25" s="178"/>
      <c r="L25" s="175"/>
      <c r="M25" s="178"/>
      <c r="N25" s="273"/>
      <c r="O25" s="319"/>
      <c r="P25" s="89">
        <f t="shared" si="7"/>
        <v>1</v>
      </c>
      <c r="Q25" s="86">
        <f t="shared" si="8"/>
        <v>80</v>
      </c>
      <c r="R25" s="227">
        <f t="shared" si="9"/>
        <v>-1</v>
      </c>
      <c r="S25" s="295"/>
      <c r="T25" s="188"/>
    </row>
    <row r="26" spans="1:20" s="60" customFormat="1" ht="15.75">
      <c r="A26" s="169"/>
      <c r="B26" s="296" t="s">
        <v>175</v>
      </c>
      <c r="C26" s="208" t="s">
        <v>42</v>
      </c>
      <c r="D26" s="217" t="s">
        <v>161</v>
      </c>
      <c r="E26" s="179">
        <f t="shared" si="3"/>
        <v>80</v>
      </c>
      <c r="F26" s="265">
        <v>1</v>
      </c>
      <c r="G26" s="266">
        <v>80</v>
      </c>
      <c r="H26" s="384">
        <f t="shared" si="5"/>
        <v>1</v>
      </c>
      <c r="I26" s="135">
        <f t="shared" si="6"/>
        <v>80</v>
      </c>
      <c r="J26" s="177"/>
      <c r="K26" s="178"/>
      <c r="L26" s="175"/>
      <c r="M26" s="178"/>
      <c r="N26" s="273"/>
      <c r="O26" s="319"/>
      <c r="P26" s="89">
        <f t="shared" si="7"/>
        <v>1</v>
      </c>
      <c r="Q26" s="86">
        <f t="shared" si="8"/>
        <v>80</v>
      </c>
      <c r="R26" s="227">
        <f t="shared" si="9"/>
        <v>-1</v>
      </c>
      <c r="S26" s="295"/>
      <c r="T26" s="188"/>
    </row>
    <row r="27" spans="1:20" s="60" customFormat="1" ht="15.75">
      <c r="A27" s="169"/>
      <c r="B27" s="316" t="s">
        <v>107</v>
      </c>
      <c r="C27" s="308"/>
      <c r="D27" s="308"/>
      <c r="E27" s="179"/>
      <c r="F27" s="266"/>
      <c r="G27" s="309"/>
      <c r="H27" s="232"/>
      <c r="I27" s="135"/>
      <c r="J27" s="86"/>
      <c r="K27" s="90"/>
      <c r="L27" s="86"/>
      <c r="M27" s="90"/>
      <c r="N27" s="273"/>
      <c r="O27" s="294"/>
      <c r="P27" s="236"/>
      <c r="Q27" s="86"/>
      <c r="R27" s="227"/>
      <c r="S27" s="295"/>
      <c r="T27" s="188"/>
    </row>
    <row r="28" spans="1:20" s="249" customFormat="1" ht="15.75">
      <c r="A28" s="244" t="s">
        <v>106</v>
      </c>
      <c r="B28" s="331" t="s">
        <v>176</v>
      </c>
      <c r="C28" s="197" t="s">
        <v>41</v>
      </c>
      <c r="D28" s="285" t="s">
        <v>161</v>
      </c>
      <c r="E28" s="321">
        <f t="shared" si="3"/>
        <v>767.29111026325825</v>
      </c>
      <c r="F28" s="332">
        <f>SUM(F29:F30)</f>
        <v>2.621</v>
      </c>
      <c r="G28" s="333">
        <f>SUM(G29:G32)</f>
        <v>2011.07</v>
      </c>
      <c r="H28" s="332">
        <f>SUM(H29:H30)</f>
        <v>2.621</v>
      </c>
      <c r="I28" s="333">
        <f>SUM(I29:I32)</f>
        <v>2011.07</v>
      </c>
      <c r="J28" s="246"/>
      <c r="K28" s="247"/>
      <c r="L28" s="176"/>
      <c r="M28" s="247"/>
      <c r="N28" s="272"/>
      <c r="O28" s="294"/>
      <c r="P28" s="234">
        <f t="shared" si="7"/>
        <v>2.621</v>
      </c>
      <c r="Q28" s="87">
        <f t="shared" si="8"/>
        <v>2011.07</v>
      </c>
      <c r="R28" s="226">
        <f t="shared" si="9"/>
        <v>-1</v>
      </c>
      <c r="S28" s="324"/>
      <c r="T28" s="190"/>
    </row>
    <row r="29" spans="1:20" s="60" customFormat="1" ht="15.75">
      <c r="A29" s="169"/>
      <c r="B29" s="296" t="s">
        <v>156</v>
      </c>
      <c r="C29" s="208" t="s">
        <v>41</v>
      </c>
      <c r="D29" s="217" t="s">
        <v>161</v>
      </c>
      <c r="E29" s="179">
        <f t="shared" si="3"/>
        <v>684.37136465324386</v>
      </c>
      <c r="F29" s="259">
        <v>2.2349999999999999</v>
      </c>
      <c r="G29" s="267">
        <v>1529.57</v>
      </c>
      <c r="H29" s="232">
        <f t="shared" si="5"/>
        <v>2.2349999999999999</v>
      </c>
      <c r="I29" s="135">
        <f t="shared" si="6"/>
        <v>1529.57</v>
      </c>
      <c r="J29" s="177"/>
      <c r="K29" s="259"/>
      <c r="L29" s="267"/>
      <c r="M29" s="259"/>
      <c r="N29" s="258"/>
      <c r="O29" s="319"/>
      <c r="P29" s="236">
        <f t="shared" si="7"/>
        <v>2.2349999999999999</v>
      </c>
      <c r="Q29" s="86">
        <f t="shared" si="8"/>
        <v>1529.57</v>
      </c>
      <c r="R29" s="227">
        <f t="shared" si="9"/>
        <v>-1</v>
      </c>
      <c r="S29" s="295"/>
      <c r="T29" s="188"/>
    </row>
    <row r="30" spans="1:20" s="60" customFormat="1" ht="15.75">
      <c r="A30" s="169"/>
      <c r="B30" s="296" t="s">
        <v>159</v>
      </c>
      <c r="C30" s="208" t="s">
        <v>41</v>
      </c>
      <c r="D30" s="217" t="s">
        <v>161</v>
      </c>
      <c r="E30" s="179">
        <f t="shared" si="3"/>
        <v>832.90155440414503</v>
      </c>
      <c r="F30" s="259">
        <v>0.38600000000000001</v>
      </c>
      <c r="G30" s="267">
        <v>321.5</v>
      </c>
      <c r="H30" s="232">
        <f t="shared" si="5"/>
        <v>0.38600000000000001</v>
      </c>
      <c r="I30" s="135">
        <f t="shared" si="6"/>
        <v>321.5</v>
      </c>
      <c r="J30" s="177"/>
      <c r="K30" s="259"/>
      <c r="L30" s="267"/>
      <c r="M30" s="259"/>
      <c r="N30" s="258"/>
      <c r="O30" s="319"/>
      <c r="P30" s="236">
        <f t="shared" si="7"/>
        <v>0.38600000000000001</v>
      </c>
      <c r="Q30" s="86">
        <f t="shared" si="8"/>
        <v>321.5</v>
      </c>
      <c r="R30" s="227">
        <f t="shared" si="9"/>
        <v>-1</v>
      </c>
      <c r="S30" s="295"/>
      <c r="T30" s="188"/>
    </row>
    <row r="31" spans="1:20" s="60" customFormat="1" ht="31.5">
      <c r="A31" s="169"/>
      <c r="B31" s="296" t="s">
        <v>171</v>
      </c>
      <c r="C31" s="208" t="s">
        <v>42</v>
      </c>
      <c r="D31" s="217" t="s">
        <v>161</v>
      </c>
      <c r="E31" s="179">
        <f t="shared" si="3"/>
        <v>80</v>
      </c>
      <c r="F31" s="260">
        <v>1</v>
      </c>
      <c r="G31" s="267">
        <v>80</v>
      </c>
      <c r="H31" s="384">
        <f t="shared" si="5"/>
        <v>1</v>
      </c>
      <c r="I31" s="135">
        <f t="shared" si="6"/>
        <v>80</v>
      </c>
      <c r="J31" s="177"/>
      <c r="K31" s="131"/>
      <c r="L31" s="86"/>
      <c r="M31" s="131"/>
      <c r="N31" s="90"/>
      <c r="O31" s="319"/>
      <c r="P31" s="89">
        <f t="shared" si="7"/>
        <v>1</v>
      </c>
      <c r="Q31" s="86">
        <f t="shared" si="8"/>
        <v>80</v>
      </c>
      <c r="R31" s="227">
        <f t="shared" si="9"/>
        <v>-1</v>
      </c>
      <c r="S31" s="295"/>
      <c r="T31" s="188"/>
    </row>
    <row r="32" spans="1:20" s="60" customFormat="1" ht="15.75">
      <c r="A32" s="169"/>
      <c r="B32" s="296" t="s">
        <v>177</v>
      </c>
      <c r="C32" s="208" t="s">
        <v>42</v>
      </c>
      <c r="D32" s="217" t="s">
        <v>161</v>
      </c>
      <c r="E32" s="179">
        <f t="shared" si="3"/>
        <v>80</v>
      </c>
      <c r="F32" s="260">
        <v>1</v>
      </c>
      <c r="G32" s="267">
        <v>80</v>
      </c>
      <c r="H32" s="384">
        <f t="shared" si="5"/>
        <v>1</v>
      </c>
      <c r="I32" s="135">
        <f t="shared" si="6"/>
        <v>80</v>
      </c>
      <c r="J32" s="177"/>
      <c r="K32" s="131"/>
      <c r="L32" s="86"/>
      <c r="M32" s="131"/>
      <c r="N32" s="90"/>
      <c r="O32" s="319"/>
      <c r="P32" s="89">
        <f t="shared" si="7"/>
        <v>1</v>
      </c>
      <c r="Q32" s="86">
        <f t="shared" si="8"/>
        <v>80</v>
      </c>
      <c r="R32" s="227">
        <f t="shared" si="9"/>
        <v>-1</v>
      </c>
      <c r="S32" s="295"/>
      <c r="T32" s="188"/>
    </row>
    <row r="33" spans="1:20" s="249" customFormat="1" ht="15.75">
      <c r="A33" s="244" t="s">
        <v>108</v>
      </c>
      <c r="B33" s="334" t="s">
        <v>178</v>
      </c>
      <c r="C33" s="197" t="s">
        <v>41</v>
      </c>
      <c r="D33" s="285" t="s">
        <v>77</v>
      </c>
      <c r="E33" s="321">
        <f>G33/F33</f>
        <v>685.58842866535167</v>
      </c>
      <c r="F33" s="332">
        <f>SUM(F34:F35)</f>
        <v>1.5210000000000001</v>
      </c>
      <c r="G33" s="335">
        <f>SUM(G34:G37)</f>
        <v>1042.78</v>
      </c>
      <c r="H33" s="332">
        <f>SUM(H34:H35)</f>
        <v>1.5210000000000001</v>
      </c>
      <c r="I33" s="335">
        <f>SUM(I34:I37)</f>
        <v>1042.78</v>
      </c>
      <c r="J33" s="246"/>
      <c r="K33" s="327"/>
      <c r="L33" s="87"/>
      <c r="M33" s="327"/>
      <c r="N33" s="92"/>
      <c r="O33" s="294"/>
      <c r="P33" s="234">
        <f t="shared" si="7"/>
        <v>1.5210000000000001</v>
      </c>
      <c r="Q33" s="87">
        <f t="shared" si="8"/>
        <v>1042.78</v>
      </c>
      <c r="R33" s="226">
        <f t="shared" si="9"/>
        <v>-1</v>
      </c>
      <c r="S33" s="324"/>
      <c r="T33" s="190"/>
    </row>
    <row r="34" spans="1:20" s="60" customFormat="1" ht="15.75">
      <c r="A34" s="169"/>
      <c r="B34" s="296" t="s">
        <v>156</v>
      </c>
      <c r="C34" s="208" t="s">
        <v>41</v>
      </c>
      <c r="D34" s="217" t="s">
        <v>77</v>
      </c>
      <c r="E34" s="179">
        <f>G34/F34</f>
        <v>586.68504479669184</v>
      </c>
      <c r="F34" s="299">
        <v>1.4510000000000001</v>
      </c>
      <c r="G34" s="281">
        <v>851.28</v>
      </c>
      <c r="H34" s="232">
        <f t="shared" si="5"/>
        <v>1.4510000000000001</v>
      </c>
      <c r="I34" s="135">
        <f t="shared" si="6"/>
        <v>851.28</v>
      </c>
      <c r="J34" s="177"/>
      <c r="K34" s="166"/>
      <c r="L34" s="175"/>
      <c r="M34" s="166"/>
      <c r="N34" s="175"/>
      <c r="O34" s="319"/>
      <c r="P34" s="236">
        <f t="shared" si="7"/>
        <v>1.4510000000000001</v>
      </c>
      <c r="Q34" s="86">
        <f t="shared" si="8"/>
        <v>851.28</v>
      </c>
      <c r="R34" s="227">
        <f t="shared" si="9"/>
        <v>-1</v>
      </c>
      <c r="S34" s="295"/>
      <c r="T34" s="188"/>
    </row>
    <row r="35" spans="1:20" s="60" customFormat="1" ht="15.75">
      <c r="A35" s="169"/>
      <c r="B35" s="296" t="s">
        <v>157</v>
      </c>
      <c r="C35" s="208" t="s">
        <v>41</v>
      </c>
      <c r="D35" s="217" t="s">
        <v>77</v>
      </c>
      <c r="E35" s="179">
        <f>G35/F35</f>
        <v>450</v>
      </c>
      <c r="F35" s="300">
        <v>7.0000000000000007E-2</v>
      </c>
      <c r="G35" s="281">
        <v>31.500000000000004</v>
      </c>
      <c r="H35" s="232">
        <f t="shared" si="5"/>
        <v>7.0000000000000007E-2</v>
      </c>
      <c r="I35" s="135">
        <f t="shared" si="6"/>
        <v>31.500000000000004</v>
      </c>
      <c r="J35" s="177"/>
      <c r="K35" s="259"/>
      <c r="L35" s="258"/>
      <c r="M35" s="259"/>
      <c r="N35" s="258"/>
      <c r="O35" s="319"/>
      <c r="P35" s="236">
        <f t="shared" si="7"/>
        <v>7.0000000000000007E-2</v>
      </c>
      <c r="Q35" s="86">
        <f t="shared" si="8"/>
        <v>31.500000000000004</v>
      </c>
      <c r="R35" s="227">
        <f t="shared" si="9"/>
        <v>-1</v>
      </c>
      <c r="S35" s="295"/>
      <c r="T35" s="188"/>
    </row>
    <row r="36" spans="1:20" s="60" customFormat="1" ht="31.5">
      <c r="A36" s="169"/>
      <c r="B36" s="296" t="s">
        <v>179</v>
      </c>
      <c r="C36" s="208" t="s">
        <v>42</v>
      </c>
      <c r="D36" s="217" t="s">
        <v>77</v>
      </c>
      <c r="E36" s="179">
        <f>G36/F36</f>
        <v>80</v>
      </c>
      <c r="F36" s="300">
        <v>1</v>
      </c>
      <c r="G36" s="258">
        <v>80</v>
      </c>
      <c r="H36" s="384">
        <f t="shared" si="5"/>
        <v>1</v>
      </c>
      <c r="I36" s="135">
        <f t="shared" si="6"/>
        <v>80</v>
      </c>
      <c r="J36" s="177"/>
      <c r="K36" s="259"/>
      <c r="L36" s="258"/>
      <c r="M36" s="259"/>
      <c r="N36" s="258"/>
      <c r="O36" s="319"/>
      <c r="P36" s="89">
        <f t="shared" si="7"/>
        <v>1</v>
      </c>
      <c r="Q36" s="86">
        <f t="shared" si="8"/>
        <v>80</v>
      </c>
      <c r="R36" s="227">
        <f t="shared" si="9"/>
        <v>-1</v>
      </c>
      <c r="S36" s="295"/>
      <c r="T36" s="188"/>
    </row>
    <row r="37" spans="1:20" s="60" customFormat="1" ht="15.75">
      <c r="A37" s="169"/>
      <c r="B37" s="296" t="s">
        <v>180</v>
      </c>
      <c r="C37" s="208" t="s">
        <v>42</v>
      </c>
      <c r="D37" s="217" t="s">
        <v>77</v>
      </c>
      <c r="E37" s="179">
        <f>G37/F37</f>
        <v>80</v>
      </c>
      <c r="F37" s="300">
        <v>1</v>
      </c>
      <c r="G37" s="258">
        <v>80</v>
      </c>
      <c r="H37" s="384">
        <f t="shared" si="5"/>
        <v>1</v>
      </c>
      <c r="I37" s="135">
        <f t="shared" si="6"/>
        <v>80</v>
      </c>
      <c r="J37" s="177"/>
      <c r="K37" s="260"/>
      <c r="L37" s="258"/>
      <c r="M37" s="260"/>
      <c r="N37" s="258"/>
      <c r="O37" s="319"/>
      <c r="P37" s="89">
        <f t="shared" si="7"/>
        <v>1</v>
      </c>
      <c r="Q37" s="86">
        <f t="shared" si="8"/>
        <v>80</v>
      </c>
      <c r="R37" s="227">
        <f t="shared" si="9"/>
        <v>-1</v>
      </c>
      <c r="S37" s="295"/>
      <c r="T37" s="188"/>
    </row>
    <row r="38" spans="1:20" s="60" customFormat="1" ht="15.75">
      <c r="A38" s="169"/>
      <c r="B38" s="315" t="s">
        <v>91</v>
      </c>
      <c r="C38" s="306"/>
      <c r="D38" s="306"/>
      <c r="E38" s="179"/>
      <c r="F38" s="258"/>
      <c r="G38" s="310"/>
      <c r="H38" s="232"/>
      <c r="I38" s="135"/>
      <c r="J38" s="177"/>
      <c r="K38" s="260"/>
      <c r="L38" s="258"/>
      <c r="M38" s="260"/>
      <c r="N38" s="258"/>
      <c r="O38" s="294"/>
      <c r="P38" s="236"/>
      <c r="Q38" s="86"/>
      <c r="R38" s="227"/>
      <c r="S38" s="295"/>
      <c r="T38" s="188"/>
    </row>
    <row r="39" spans="1:20" s="249" customFormat="1" ht="15.75" customHeight="1">
      <c r="A39" s="244" t="s">
        <v>109</v>
      </c>
      <c r="B39" s="320" t="s">
        <v>181</v>
      </c>
      <c r="C39" s="197" t="s">
        <v>41</v>
      </c>
      <c r="D39" s="285" t="s">
        <v>161</v>
      </c>
      <c r="E39" s="321">
        <f t="shared" ref="E39:E65" si="14">G39/F39</f>
        <v>397.86461393818308</v>
      </c>
      <c r="F39" s="325">
        <f>SUM(F40:F41)</f>
        <v>8.5090000000000003</v>
      </c>
      <c r="G39" s="326">
        <f>SUM(G40:G43)</f>
        <v>3385.43</v>
      </c>
      <c r="H39" s="325">
        <f>SUM(H40:H41)</f>
        <v>8.5090000000000003</v>
      </c>
      <c r="I39" s="326">
        <f>SUM(I40:I43)</f>
        <v>3385.43</v>
      </c>
      <c r="J39" s="246"/>
      <c r="K39" s="257"/>
      <c r="L39" s="268"/>
      <c r="M39" s="257"/>
      <c r="N39" s="246"/>
      <c r="O39" s="294"/>
      <c r="P39" s="234">
        <f t="shared" si="7"/>
        <v>8.5090000000000003</v>
      </c>
      <c r="Q39" s="87">
        <f t="shared" si="8"/>
        <v>3385.43</v>
      </c>
      <c r="R39" s="226">
        <f t="shared" si="9"/>
        <v>-1</v>
      </c>
      <c r="S39" s="324"/>
      <c r="T39" s="190"/>
    </row>
    <row r="40" spans="1:20" s="60" customFormat="1" ht="15.75">
      <c r="A40" s="169"/>
      <c r="B40" s="298" t="s">
        <v>156</v>
      </c>
      <c r="C40" s="208" t="s">
        <v>41</v>
      </c>
      <c r="D40" s="217" t="s">
        <v>161</v>
      </c>
      <c r="E40" s="179">
        <f t="shared" si="14"/>
        <v>374.7934652676318</v>
      </c>
      <c r="F40" s="263">
        <v>7.5289999999999999</v>
      </c>
      <c r="G40" s="270">
        <v>2821.8199999999997</v>
      </c>
      <c r="H40" s="232">
        <f t="shared" si="5"/>
        <v>7.5289999999999999</v>
      </c>
      <c r="I40" s="135">
        <f t="shared" si="6"/>
        <v>2821.8199999999997</v>
      </c>
      <c r="J40" s="177"/>
      <c r="K40" s="166"/>
      <c r="L40" s="175"/>
      <c r="M40" s="166"/>
      <c r="N40" s="273"/>
      <c r="O40" s="319"/>
      <c r="P40" s="236">
        <f t="shared" si="7"/>
        <v>7.5289999999999999</v>
      </c>
      <c r="Q40" s="86">
        <f t="shared" si="8"/>
        <v>2821.8199999999997</v>
      </c>
      <c r="R40" s="227">
        <f t="shared" si="9"/>
        <v>-1</v>
      </c>
      <c r="S40" s="295"/>
      <c r="T40" s="188"/>
    </row>
    <row r="41" spans="1:20" s="60" customFormat="1" ht="15.75">
      <c r="A41" s="169"/>
      <c r="B41" s="298" t="s">
        <v>157</v>
      </c>
      <c r="C41" s="208" t="s">
        <v>41</v>
      </c>
      <c r="D41" s="217" t="s">
        <v>161</v>
      </c>
      <c r="E41" s="179">
        <f t="shared" si="14"/>
        <v>411.84693877551024</v>
      </c>
      <c r="F41" s="263">
        <v>0.98</v>
      </c>
      <c r="G41" s="270">
        <v>403.61</v>
      </c>
      <c r="H41" s="232">
        <f t="shared" si="5"/>
        <v>0.98</v>
      </c>
      <c r="I41" s="135">
        <f t="shared" si="6"/>
        <v>403.61</v>
      </c>
      <c r="J41" s="177"/>
      <c r="K41" s="166"/>
      <c r="L41" s="175"/>
      <c r="M41" s="166"/>
      <c r="N41" s="273"/>
      <c r="O41" s="319"/>
      <c r="P41" s="236">
        <f t="shared" ref="P41" si="15">H41-K41</f>
        <v>0.98</v>
      </c>
      <c r="Q41" s="86">
        <f t="shared" ref="Q41" si="16">I41-L41</f>
        <v>403.61</v>
      </c>
      <c r="R41" s="227">
        <f t="shared" ref="R41" si="17">(J41-E41)/E41</f>
        <v>-1</v>
      </c>
      <c r="S41" s="295"/>
      <c r="T41" s="188"/>
    </row>
    <row r="42" spans="1:20" s="60" customFormat="1" ht="15.75">
      <c r="A42" s="169"/>
      <c r="B42" s="298" t="s">
        <v>182</v>
      </c>
      <c r="C42" s="208" t="s">
        <v>42</v>
      </c>
      <c r="D42" s="217" t="s">
        <v>161</v>
      </c>
      <c r="E42" s="179">
        <f t="shared" si="14"/>
        <v>80</v>
      </c>
      <c r="F42" s="301">
        <v>1</v>
      </c>
      <c r="G42" s="270">
        <v>80</v>
      </c>
      <c r="H42" s="384">
        <f t="shared" si="5"/>
        <v>1</v>
      </c>
      <c r="I42" s="135">
        <f t="shared" si="6"/>
        <v>80</v>
      </c>
      <c r="J42" s="177"/>
      <c r="K42" s="337"/>
      <c r="L42" s="175"/>
      <c r="M42" s="337"/>
      <c r="N42" s="175"/>
      <c r="O42" s="319"/>
      <c r="P42" s="89">
        <f t="shared" si="7"/>
        <v>1</v>
      </c>
      <c r="Q42" s="86">
        <f t="shared" si="8"/>
        <v>80</v>
      </c>
      <c r="R42" s="227">
        <f t="shared" si="9"/>
        <v>-1</v>
      </c>
      <c r="S42" s="295"/>
      <c r="T42" s="188"/>
    </row>
    <row r="43" spans="1:20" s="60" customFormat="1" ht="15.75">
      <c r="A43" s="169"/>
      <c r="B43" s="298" t="s">
        <v>183</v>
      </c>
      <c r="C43" s="208" t="s">
        <v>42</v>
      </c>
      <c r="D43" s="217" t="s">
        <v>161</v>
      </c>
      <c r="E43" s="179">
        <f t="shared" si="14"/>
        <v>80</v>
      </c>
      <c r="F43" s="301">
        <v>1</v>
      </c>
      <c r="G43" s="270">
        <v>80</v>
      </c>
      <c r="H43" s="384">
        <f t="shared" si="5"/>
        <v>1</v>
      </c>
      <c r="I43" s="135">
        <f t="shared" si="6"/>
        <v>80</v>
      </c>
      <c r="J43" s="177"/>
      <c r="K43" s="259"/>
      <c r="L43" s="267"/>
      <c r="M43" s="259"/>
      <c r="N43" s="258"/>
      <c r="O43" s="319"/>
      <c r="P43" s="89">
        <f t="shared" si="7"/>
        <v>1</v>
      </c>
      <c r="Q43" s="86">
        <f t="shared" si="8"/>
        <v>80</v>
      </c>
      <c r="R43" s="227">
        <f t="shared" si="9"/>
        <v>-1</v>
      </c>
      <c r="S43" s="295"/>
      <c r="T43" s="188"/>
    </row>
    <row r="44" spans="1:20" s="249" customFormat="1" ht="15.75">
      <c r="A44" s="244" t="s">
        <v>110</v>
      </c>
      <c r="B44" s="320" t="s">
        <v>184</v>
      </c>
      <c r="C44" s="197" t="s">
        <v>41</v>
      </c>
      <c r="D44" s="285" t="s">
        <v>161</v>
      </c>
      <c r="E44" s="321">
        <f t="shared" si="14"/>
        <v>396.37847487885745</v>
      </c>
      <c r="F44" s="325">
        <f>F45</f>
        <v>3.9209999999999998</v>
      </c>
      <c r="G44" s="328">
        <f>G45</f>
        <v>1554.2</v>
      </c>
      <c r="H44" s="325">
        <f>H45</f>
        <v>9.0166349247201141E-2</v>
      </c>
      <c r="I44" s="328">
        <f>I45</f>
        <v>35.74</v>
      </c>
      <c r="J44" s="246"/>
      <c r="K44" s="332"/>
      <c r="L44" s="333"/>
      <c r="M44" s="332"/>
      <c r="N44" s="291"/>
      <c r="O44" s="294"/>
      <c r="P44" s="234">
        <f t="shared" si="7"/>
        <v>9.0166349247201141E-2</v>
      </c>
      <c r="Q44" s="87">
        <f t="shared" si="8"/>
        <v>35.74</v>
      </c>
      <c r="R44" s="226">
        <f t="shared" si="9"/>
        <v>-1</v>
      </c>
      <c r="S44" s="324"/>
      <c r="T44" s="190"/>
    </row>
    <row r="45" spans="1:20" s="60" customFormat="1" ht="15.75">
      <c r="A45" s="169"/>
      <c r="B45" s="298" t="s">
        <v>156</v>
      </c>
      <c r="C45" s="208" t="s">
        <v>41</v>
      </c>
      <c r="D45" s="217" t="s">
        <v>161</v>
      </c>
      <c r="E45" s="179">
        <f t="shared" si="14"/>
        <v>396.37847487885745</v>
      </c>
      <c r="F45" s="263">
        <v>3.9209999999999998</v>
      </c>
      <c r="G45" s="270">
        <v>1554.2</v>
      </c>
      <c r="H45" s="263">
        <f>I45/E45</f>
        <v>9.0166349247201141E-2</v>
      </c>
      <c r="I45" s="266">
        <v>35.74</v>
      </c>
      <c r="J45" s="177"/>
      <c r="K45" s="260"/>
      <c r="L45" s="267"/>
      <c r="M45" s="260"/>
      <c r="N45" s="258"/>
      <c r="O45" s="319"/>
      <c r="P45" s="236">
        <f t="shared" si="7"/>
        <v>9.0166349247201141E-2</v>
      </c>
      <c r="Q45" s="86">
        <f t="shared" si="8"/>
        <v>35.74</v>
      </c>
      <c r="R45" s="227">
        <f t="shared" si="9"/>
        <v>-1</v>
      </c>
      <c r="S45" s="295"/>
      <c r="T45" s="188"/>
    </row>
    <row r="46" spans="1:20" s="249" customFormat="1" ht="15.75" customHeight="1">
      <c r="A46" s="244" t="s">
        <v>111</v>
      </c>
      <c r="B46" s="334" t="s">
        <v>185</v>
      </c>
      <c r="C46" s="197" t="s">
        <v>41</v>
      </c>
      <c r="D46" s="285" t="s">
        <v>161</v>
      </c>
      <c r="E46" s="321">
        <f>G46/F46</f>
        <v>577.48693054518299</v>
      </c>
      <c r="F46" s="332">
        <f>F47</f>
        <v>2.6779999999999999</v>
      </c>
      <c r="G46" s="291">
        <f>G47</f>
        <v>1546.51</v>
      </c>
      <c r="H46" s="336"/>
      <c r="I46" s="285"/>
      <c r="J46" s="246"/>
      <c r="K46" s="330"/>
      <c r="L46" s="176"/>
      <c r="M46" s="330"/>
      <c r="N46" s="272"/>
      <c r="O46" s="294"/>
      <c r="P46" s="234">
        <f t="shared" ref="P46" si="18">H46-K46</f>
        <v>0</v>
      </c>
      <c r="Q46" s="87">
        <f t="shared" ref="Q46" si="19">I46-L46</f>
        <v>0</v>
      </c>
      <c r="R46" s="226">
        <f t="shared" ref="R46" si="20">(J46-E46)/E46</f>
        <v>-1</v>
      </c>
      <c r="S46" s="324"/>
      <c r="T46" s="190"/>
    </row>
    <row r="47" spans="1:20" s="60" customFormat="1" ht="15.75">
      <c r="A47" s="169"/>
      <c r="B47" s="296" t="s">
        <v>156</v>
      </c>
      <c r="C47" s="208" t="s">
        <v>41</v>
      </c>
      <c r="D47" s="217" t="s">
        <v>161</v>
      </c>
      <c r="E47" s="179">
        <f>G47/F47</f>
        <v>577.48693054518299</v>
      </c>
      <c r="F47" s="299">
        <v>2.6779999999999999</v>
      </c>
      <c r="G47" s="281">
        <v>1546.51</v>
      </c>
      <c r="H47" s="166"/>
      <c r="I47" s="175"/>
      <c r="J47" s="177"/>
      <c r="K47" s="166"/>
      <c r="L47" s="175"/>
      <c r="M47" s="166"/>
      <c r="N47" s="273"/>
      <c r="O47" s="319"/>
      <c r="P47" s="236">
        <f t="shared" si="7"/>
        <v>0</v>
      </c>
      <c r="Q47" s="86">
        <f t="shared" si="8"/>
        <v>0</v>
      </c>
      <c r="R47" s="227">
        <f t="shared" si="9"/>
        <v>-1</v>
      </c>
      <c r="S47" s="295"/>
      <c r="T47" s="188"/>
    </row>
    <row r="48" spans="1:20" s="60" customFormat="1" ht="15.75">
      <c r="A48" s="169"/>
      <c r="B48" s="315" t="s">
        <v>186</v>
      </c>
      <c r="C48" s="306"/>
      <c r="D48" s="306"/>
      <c r="E48" s="179"/>
      <c r="F48" s="266"/>
      <c r="G48" s="309"/>
      <c r="H48" s="259"/>
      <c r="I48" s="258"/>
      <c r="J48" s="177"/>
      <c r="K48" s="259"/>
      <c r="L48" s="267"/>
      <c r="M48" s="259"/>
      <c r="N48" s="258"/>
      <c r="O48" s="294"/>
      <c r="P48" s="236"/>
      <c r="Q48" s="86"/>
      <c r="R48" s="227"/>
      <c r="S48" s="295"/>
      <c r="T48" s="188"/>
    </row>
    <row r="49" spans="1:20" s="249" customFormat="1" ht="15.75">
      <c r="A49" s="244" t="s">
        <v>113</v>
      </c>
      <c r="B49" s="331" t="s">
        <v>187</v>
      </c>
      <c r="C49" s="197" t="s">
        <v>41</v>
      </c>
      <c r="D49" s="285" t="s">
        <v>161</v>
      </c>
      <c r="E49" s="321">
        <f t="shared" si="14"/>
        <v>567.40492170022378</v>
      </c>
      <c r="F49" s="325">
        <f>SUM(F50:F51)</f>
        <v>3.5759999999999996</v>
      </c>
      <c r="G49" s="326">
        <f>SUM(G50:G54)</f>
        <v>2029.04</v>
      </c>
      <c r="H49" s="332"/>
      <c r="I49" s="291"/>
      <c r="J49" s="321">
        <f t="shared" ref="J49:J51" si="21">L49/K49</f>
        <v>604.56466892218464</v>
      </c>
      <c r="K49" s="325">
        <f>SUM(K50:K51)</f>
        <v>2.069</v>
      </c>
      <c r="L49" s="326">
        <f>SUM(L50:L54)</f>
        <v>1250.8443</v>
      </c>
      <c r="M49" s="325">
        <f>SUM(M50:M51)</f>
        <v>2.069</v>
      </c>
      <c r="N49" s="326">
        <f>SUM(N50:N54)</f>
        <v>1250.8443</v>
      </c>
      <c r="O49" s="294"/>
      <c r="P49" s="234">
        <f t="shared" si="7"/>
        <v>-2.069</v>
      </c>
      <c r="Q49" s="87">
        <f t="shared" si="8"/>
        <v>-1250.8443</v>
      </c>
      <c r="R49" s="226">
        <f t="shared" si="9"/>
        <v>6.5490703024943822E-2</v>
      </c>
      <c r="S49" s="324"/>
      <c r="T49" s="190"/>
    </row>
    <row r="50" spans="1:20" s="60" customFormat="1" ht="15.75">
      <c r="A50" s="169"/>
      <c r="B50" s="296" t="s">
        <v>156</v>
      </c>
      <c r="C50" s="208" t="s">
        <v>41</v>
      </c>
      <c r="D50" s="217" t="s">
        <v>161</v>
      </c>
      <c r="E50" s="179">
        <f t="shared" si="14"/>
        <v>511.31960090119094</v>
      </c>
      <c r="F50" s="263">
        <v>3.1069999999999998</v>
      </c>
      <c r="G50" s="270">
        <v>1588.67</v>
      </c>
      <c r="H50" s="260"/>
      <c r="I50" s="258"/>
      <c r="J50" s="179">
        <f t="shared" si="21"/>
        <v>510.57120624999999</v>
      </c>
      <c r="K50" s="263">
        <v>1.6</v>
      </c>
      <c r="L50" s="270">
        <v>816.91393000000005</v>
      </c>
      <c r="M50" s="263">
        <v>1.6</v>
      </c>
      <c r="N50" s="270">
        <v>816.91393000000005</v>
      </c>
      <c r="O50" s="319"/>
      <c r="P50" s="236">
        <f t="shared" si="7"/>
        <v>-1.6</v>
      </c>
      <c r="Q50" s="86">
        <f t="shared" si="8"/>
        <v>-816.91393000000005</v>
      </c>
      <c r="R50" s="227">
        <f t="shared" si="9"/>
        <v>-1.4636533586272035E-3</v>
      </c>
      <c r="S50" s="295"/>
      <c r="T50" s="188"/>
    </row>
    <row r="51" spans="1:20" s="60" customFormat="1" ht="15.75">
      <c r="A51" s="169"/>
      <c r="B51" s="296" t="s">
        <v>157</v>
      </c>
      <c r="C51" s="208" t="s">
        <v>41</v>
      </c>
      <c r="D51" s="217" t="s">
        <v>161</v>
      </c>
      <c r="E51" s="179">
        <f t="shared" si="14"/>
        <v>565.82089552238813</v>
      </c>
      <c r="F51" s="263">
        <v>0.46899999999999997</v>
      </c>
      <c r="G51" s="270">
        <v>265.37</v>
      </c>
      <c r="H51" s="260"/>
      <c r="I51" s="258"/>
      <c r="J51" s="179">
        <f t="shared" si="21"/>
        <v>925.22466950959495</v>
      </c>
      <c r="K51" s="263">
        <v>0.46899999999999997</v>
      </c>
      <c r="L51" s="270">
        <v>433.93036999999998</v>
      </c>
      <c r="M51" s="263">
        <v>0.46899999999999997</v>
      </c>
      <c r="N51" s="270">
        <v>433.93036999999998</v>
      </c>
      <c r="O51" s="319"/>
      <c r="P51" s="236">
        <f t="shared" si="7"/>
        <v>-0.46899999999999997</v>
      </c>
      <c r="Q51" s="86">
        <f t="shared" si="8"/>
        <v>-433.93036999999998</v>
      </c>
      <c r="R51" s="227">
        <f t="shared" si="9"/>
        <v>0.63518999886950289</v>
      </c>
      <c r="S51" s="295"/>
      <c r="T51" s="188"/>
    </row>
    <row r="52" spans="1:20" s="60" customFormat="1" ht="15.75">
      <c r="A52" s="169"/>
      <c r="B52" s="296" t="s">
        <v>188</v>
      </c>
      <c r="C52" s="208" t="s">
        <v>42</v>
      </c>
      <c r="D52" s="217" t="s">
        <v>161</v>
      </c>
      <c r="E52" s="179">
        <f t="shared" si="14"/>
        <v>55</v>
      </c>
      <c r="F52" s="265">
        <v>1</v>
      </c>
      <c r="G52" s="270">
        <v>55</v>
      </c>
      <c r="H52" s="166"/>
      <c r="I52" s="175"/>
      <c r="J52" s="177"/>
      <c r="K52" s="166"/>
      <c r="L52" s="175"/>
      <c r="M52" s="166"/>
      <c r="N52" s="175"/>
      <c r="O52" s="319"/>
      <c r="P52" s="89">
        <f t="shared" si="7"/>
        <v>0</v>
      </c>
      <c r="Q52" s="86">
        <f t="shared" si="8"/>
        <v>0</v>
      </c>
      <c r="R52" s="227">
        <f t="shared" si="9"/>
        <v>-1</v>
      </c>
      <c r="S52" s="295"/>
      <c r="T52" s="188"/>
    </row>
    <row r="53" spans="1:20" s="60" customFormat="1" ht="15.75">
      <c r="A53" s="169"/>
      <c r="B53" s="296" t="s">
        <v>189</v>
      </c>
      <c r="C53" s="208" t="s">
        <v>42</v>
      </c>
      <c r="D53" s="217" t="s">
        <v>161</v>
      </c>
      <c r="E53" s="179">
        <f t="shared" si="14"/>
        <v>65</v>
      </c>
      <c r="F53" s="265">
        <v>1</v>
      </c>
      <c r="G53" s="270">
        <v>65</v>
      </c>
      <c r="H53" s="259"/>
      <c r="I53" s="258"/>
      <c r="J53" s="177"/>
      <c r="K53" s="166"/>
      <c r="L53" s="175"/>
      <c r="M53" s="166"/>
      <c r="N53" s="175"/>
      <c r="O53" s="319"/>
      <c r="P53" s="89">
        <f t="shared" si="7"/>
        <v>0</v>
      </c>
      <c r="Q53" s="86">
        <f t="shared" si="8"/>
        <v>0</v>
      </c>
      <c r="R53" s="227">
        <f t="shared" si="9"/>
        <v>-1</v>
      </c>
      <c r="S53" s="295"/>
      <c r="T53" s="188"/>
    </row>
    <row r="54" spans="1:20" s="60" customFormat="1" ht="31.5">
      <c r="A54" s="169"/>
      <c r="B54" s="296" t="s">
        <v>190</v>
      </c>
      <c r="C54" s="208" t="s">
        <v>42</v>
      </c>
      <c r="D54" s="217" t="s">
        <v>161</v>
      </c>
      <c r="E54" s="179">
        <f t="shared" si="14"/>
        <v>55</v>
      </c>
      <c r="F54" s="265">
        <v>1</v>
      </c>
      <c r="G54" s="270">
        <v>55</v>
      </c>
      <c r="H54" s="259"/>
      <c r="I54" s="258"/>
      <c r="J54" s="177"/>
      <c r="K54" s="166"/>
      <c r="L54" s="175"/>
      <c r="M54" s="166"/>
      <c r="N54" s="175"/>
      <c r="O54" s="319"/>
      <c r="P54" s="89">
        <f t="shared" si="7"/>
        <v>0</v>
      </c>
      <c r="Q54" s="86">
        <f t="shared" si="8"/>
        <v>0</v>
      </c>
      <c r="R54" s="227">
        <f t="shared" si="9"/>
        <v>-1</v>
      </c>
      <c r="S54" s="295"/>
      <c r="T54" s="188"/>
    </row>
    <row r="55" spans="1:20" s="60" customFormat="1" ht="15.75">
      <c r="A55" s="169"/>
      <c r="B55" s="315" t="s">
        <v>112</v>
      </c>
      <c r="C55" s="306"/>
      <c r="D55" s="306"/>
      <c r="E55" s="179"/>
      <c r="F55" s="266"/>
      <c r="G55" s="311"/>
      <c r="H55" s="260"/>
      <c r="I55" s="258"/>
      <c r="J55" s="177"/>
      <c r="K55" s="178"/>
      <c r="L55" s="175"/>
      <c r="M55" s="178"/>
      <c r="N55" s="175"/>
      <c r="O55" s="294"/>
      <c r="P55" s="236"/>
      <c r="Q55" s="86"/>
      <c r="R55" s="227"/>
      <c r="S55" s="295"/>
      <c r="T55" s="188"/>
    </row>
    <row r="56" spans="1:20" s="249" customFormat="1" ht="15.75">
      <c r="A56" s="244" t="s">
        <v>114</v>
      </c>
      <c r="B56" s="331" t="s">
        <v>191</v>
      </c>
      <c r="C56" s="197" t="s">
        <v>41</v>
      </c>
      <c r="D56" s="285" t="s">
        <v>77</v>
      </c>
      <c r="E56" s="321">
        <f t="shared" ref="E56:E61" si="22">G56/F56</f>
        <v>641.12074303405575</v>
      </c>
      <c r="F56" s="332">
        <f>SUM(F57:F58)</f>
        <v>4.8449999999999998</v>
      </c>
      <c r="G56" s="291">
        <f>SUM(G57:G61)</f>
        <v>3106.23</v>
      </c>
      <c r="H56" s="332">
        <f>SUM(H57:H58)</f>
        <v>4.8449999999999998</v>
      </c>
      <c r="I56" s="291">
        <f>SUM(I57:I61)</f>
        <v>3106.23</v>
      </c>
      <c r="J56" s="246">
        <f t="shared" ref="J56:J61" si="23">L56/K56</f>
        <v>640.55933952528392</v>
      </c>
      <c r="K56" s="247">
        <f>K57+K58</f>
        <v>4.8449999999999998</v>
      </c>
      <c r="L56" s="176">
        <f>L57+L58+L59+L60+L61</f>
        <v>3103.51</v>
      </c>
      <c r="M56" s="247">
        <f>M57+M58</f>
        <v>4.8449999999999998</v>
      </c>
      <c r="N56" s="176">
        <f>N57+N58+N59+N60+N61</f>
        <v>3103.51</v>
      </c>
      <c r="O56" s="294"/>
      <c r="P56" s="234">
        <f t="shared" si="7"/>
        <v>0</v>
      </c>
      <c r="Q56" s="87">
        <f t="shared" si="8"/>
        <v>2.7199999999997999</v>
      </c>
      <c r="R56" s="226">
        <f t="shared" si="9"/>
        <v>-8.7565956159058619E-4</v>
      </c>
      <c r="S56" s="324"/>
      <c r="T56" s="190"/>
    </row>
    <row r="57" spans="1:20" s="60" customFormat="1" ht="15.75">
      <c r="A57" s="169"/>
      <c r="B57" s="296" t="s">
        <v>156</v>
      </c>
      <c r="C57" s="208" t="s">
        <v>41</v>
      </c>
      <c r="D57" s="217" t="s">
        <v>77</v>
      </c>
      <c r="E57" s="179">
        <f t="shared" si="22"/>
        <v>590.66876971608838</v>
      </c>
      <c r="F57" s="259">
        <v>4.7549999999999999</v>
      </c>
      <c r="G57" s="258">
        <v>2808.63</v>
      </c>
      <c r="H57" s="259">
        <f t="shared" ref="H57:H61" si="24">F57</f>
        <v>4.7549999999999999</v>
      </c>
      <c r="I57" s="258">
        <f t="shared" ref="I57:I61" si="25">G57</f>
        <v>2808.63</v>
      </c>
      <c r="J57" s="177">
        <f t="shared" si="23"/>
        <v>525.13091482649838</v>
      </c>
      <c r="K57" s="286">
        <v>4.7549999999999999</v>
      </c>
      <c r="L57" s="86">
        <f>(2176.2132+820.1838)/1.2</f>
        <v>2496.9974999999999</v>
      </c>
      <c r="M57" s="286">
        <v>4.7549999999999999</v>
      </c>
      <c r="N57" s="86">
        <f>(2176.2132+820.1838)/1.2</f>
        <v>2496.9974999999999</v>
      </c>
      <c r="O57" s="319"/>
      <c r="P57" s="236">
        <f t="shared" ref="P57" si="26">H57-K57</f>
        <v>0</v>
      </c>
      <c r="Q57" s="86">
        <f t="shared" ref="Q57" si="27">I57-L57</f>
        <v>311.63250000000016</v>
      </c>
      <c r="R57" s="227">
        <f t="shared" ref="R57" si="28">(J57-E57)/E57</f>
        <v>-0.11095534121618027</v>
      </c>
      <c r="S57" s="295"/>
      <c r="T57" s="188"/>
    </row>
    <row r="58" spans="1:20" s="60" customFormat="1" ht="15.75">
      <c r="A58" s="169"/>
      <c r="B58" s="296" t="s">
        <v>157</v>
      </c>
      <c r="C58" s="208" t="s">
        <v>41</v>
      </c>
      <c r="D58" s="217" t="s">
        <v>77</v>
      </c>
      <c r="E58" s="179">
        <f t="shared" si="22"/>
        <v>640</v>
      </c>
      <c r="F58" s="259">
        <v>0.09</v>
      </c>
      <c r="G58" s="258">
        <v>57.6</v>
      </c>
      <c r="H58" s="259">
        <f t="shared" si="24"/>
        <v>0.09</v>
      </c>
      <c r="I58" s="258">
        <f t="shared" si="25"/>
        <v>57.6</v>
      </c>
      <c r="J58" s="177">
        <f t="shared" si="23"/>
        <v>2190.5</v>
      </c>
      <c r="K58" s="166">
        <v>0.09</v>
      </c>
      <c r="L58" s="175">
        <f>144.925+52.22</f>
        <v>197.14500000000001</v>
      </c>
      <c r="M58" s="166">
        <v>0.09</v>
      </c>
      <c r="N58" s="175">
        <f>144.925+52.22</f>
        <v>197.14500000000001</v>
      </c>
      <c r="O58" s="319"/>
      <c r="P58" s="236">
        <f t="shared" si="7"/>
        <v>0</v>
      </c>
      <c r="Q58" s="86">
        <f t="shared" si="8"/>
        <v>-139.54500000000002</v>
      </c>
      <c r="R58" s="227">
        <f t="shared" si="9"/>
        <v>2.4226562500000002</v>
      </c>
      <c r="S58" s="295"/>
      <c r="T58" s="188"/>
    </row>
    <row r="59" spans="1:20" s="60" customFormat="1" ht="15.75">
      <c r="A59" s="169"/>
      <c r="B59" s="296" t="s">
        <v>192</v>
      </c>
      <c r="C59" s="208" t="s">
        <v>42</v>
      </c>
      <c r="D59" s="217" t="s">
        <v>77</v>
      </c>
      <c r="E59" s="179">
        <f t="shared" si="22"/>
        <v>80</v>
      </c>
      <c r="F59" s="260">
        <v>1</v>
      </c>
      <c r="G59" s="258">
        <v>80</v>
      </c>
      <c r="H59" s="260">
        <f t="shared" si="24"/>
        <v>1</v>
      </c>
      <c r="I59" s="258">
        <f t="shared" si="25"/>
        <v>80</v>
      </c>
      <c r="J59" s="177">
        <f t="shared" si="23"/>
        <v>137.98250000000002</v>
      </c>
      <c r="K59" s="260">
        <v>1</v>
      </c>
      <c r="L59" s="267">
        <f>165.579/1.2</f>
        <v>137.98250000000002</v>
      </c>
      <c r="M59" s="260">
        <v>1</v>
      </c>
      <c r="N59" s="267">
        <f>165.579/1.2</f>
        <v>137.98250000000002</v>
      </c>
      <c r="O59" s="319"/>
      <c r="P59" s="89">
        <f t="shared" si="7"/>
        <v>0</v>
      </c>
      <c r="Q59" s="86">
        <f t="shared" si="8"/>
        <v>-57.982500000000016</v>
      </c>
      <c r="R59" s="227">
        <f t="shared" si="9"/>
        <v>0.72478125000000015</v>
      </c>
      <c r="S59" s="295"/>
      <c r="T59" s="188"/>
    </row>
    <row r="60" spans="1:20" s="60" customFormat="1" ht="15.75">
      <c r="A60" s="169"/>
      <c r="B60" s="296" t="s">
        <v>193</v>
      </c>
      <c r="C60" s="208" t="s">
        <v>42</v>
      </c>
      <c r="D60" s="217" t="s">
        <v>77</v>
      </c>
      <c r="E60" s="179">
        <f t="shared" si="22"/>
        <v>80</v>
      </c>
      <c r="F60" s="260">
        <v>1</v>
      </c>
      <c r="G60" s="258">
        <v>80</v>
      </c>
      <c r="H60" s="260">
        <f t="shared" si="24"/>
        <v>1</v>
      </c>
      <c r="I60" s="258">
        <f t="shared" si="25"/>
        <v>80</v>
      </c>
      <c r="J60" s="177">
        <f t="shared" si="23"/>
        <v>136.815</v>
      </c>
      <c r="K60" s="178">
        <v>1</v>
      </c>
      <c r="L60" s="175">
        <f>164.178/1.2</f>
        <v>136.815</v>
      </c>
      <c r="M60" s="178">
        <v>1</v>
      </c>
      <c r="N60" s="175">
        <f>164.178/1.2</f>
        <v>136.815</v>
      </c>
      <c r="O60" s="319"/>
      <c r="P60" s="89">
        <f t="shared" si="7"/>
        <v>0</v>
      </c>
      <c r="Q60" s="86">
        <f t="shared" si="8"/>
        <v>-56.814999999999998</v>
      </c>
      <c r="R60" s="227">
        <f t="shared" si="9"/>
        <v>0.71018749999999997</v>
      </c>
      <c r="S60" s="295"/>
      <c r="T60" s="188"/>
    </row>
    <row r="61" spans="1:20" s="60" customFormat="1" ht="31.5">
      <c r="A61" s="169"/>
      <c r="B61" s="296" t="s">
        <v>194</v>
      </c>
      <c r="C61" s="208" t="s">
        <v>42</v>
      </c>
      <c r="D61" s="217" t="s">
        <v>77</v>
      </c>
      <c r="E61" s="179">
        <f t="shared" si="22"/>
        <v>80</v>
      </c>
      <c r="F61" s="260">
        <v>1</v>
      </c>
      <c r="G61" s="258">
        <v>80</v>
      </c>
      <c r="H61" s="260">
        <f t="shared" si="24"/>
        <v>1</v>
      </c>
      <c r="I61" s="258">
        <f t="shared" si="25"/>
        <v>80</v>
      </c>
      <c r="J61" s="177">
        <f t="shared" si="23"/>
        <v>134.57000000000002</v>
      </c>
      <c r="K61" s="178">
        <v>1</v>
      </c>
      <c r="L61" s="175">
        <f>161.484/1.2</f>
        <v>134.57000000000002</v>
      </c>
      <c r="M61" s="178">
        <v>1</v>
      </c>
      <c r="N61" s="175">
        <f>161.484/1.2</f>
        <v>134.57000000000002</v>
      </c>
      <c r="O61" s="319"/>
      <c r="P61" s="89">
        <f t="shared" si="7"/>
        <v>0</v>
      </c>
      <c r="Q61" s="86">
        <f t="shared" si="8"/>
        <v>-54.570000000000022</v>
      </c>
      <c r="R61" s="227">
        <f t="shared" si="9"/>
        <v>0.68212500000000031</v>
      </c>
      <c r="S61" s="295"/>
      <c r="T61" s="188"/>
    </row>
    <row r="62" spans="1:20" s="249" customFormat="1" ht="15.75">
      <c r="A62" s="244"/>
      <c r="B62" s="315" t="s">
        <v>92</v>
      </c>
      <c r="C62" s="306"/>
      <c r="D62" s="306"/>
      <c r="E62" s="179"/>
      <c r="F62" s="266"/>
      <c r="G62" s="309"/>
      <c r="H62" s="332"/>
      <c r="I62" s="291"/>
      <c r="J62" s="246"/>
      <c r="K62" s="247"/>
      <c r="L62" s="176"/>
      <c r="M62" s="247"/>
      <c r="N62" s="176"/>
      <c r="O62" s="294"/>
      <c r="P62" s="236"/>
      <c r="Q62" s="86"/>
      <c r="R62" s="227"/>
      <c r="S62" s="295"/>
      <c r="T62" s="190"/>
    </row>
    <row r="63" spans="1:20" s="249" customFormat="1" ht="15.75">
      <c r="A63" s="244" t="s">
        <v>115</v>
      </c>
      <c r="B63" s="331" t="s">
        <v>195</v>
      </c>
      <c r="C63" s="197" t="s">
        <v>41</v>
      </c>
      <c r="D63" s="285" t="s">
        <v>161</v>
      </c>
      <c r="E63" s="321">
        <f t="shared" si="14"/>
        <v>880.55555555555554</v>
      </c>
      <c r="F63" s="332">
        <f>SUM(F64:F65)</f>
        <v>3.24</v>
      </c>
      <c r="G63" s="333">
        <f>SUM(G64:G65)</f>
        <v>2853</v>
      </c>
      <c r="H63" s="332"/>
      <c r="I63" s="291"/>
      <c r="J63" s="246"/>
      <c r="K63" s="338"/>
      <c r="L63" s="339"/>
      <c r="M63" s="338"/>
      <c r="N63" s="340"/>
      <c r="O63" s="294"/>
      <c r="P63" s="234">
        <f t="shared" si="7"/>
        <v>0</v>
      </c>
      <c r="Q63" s="87">
        <f t="shared" si="8"/>
        <v>0</v>
      </c>
      <c r="R63" s="226">
        <f t="shared" si="9"/>
        <v>-1</v>
      </c>
      <c r="S63" s="324"/>
      <c r="T63" s="190"/>
    </row>
    <row r="64" spans="1:20" s="60" customFormat="1" ht="15.75">
      <c r="A64" s="169"/>
      <c r="B64" s="296" t="s">
        <v>156</v>
      </c>
      <c r="C64" s="208" t="s">
        <v>41</v>
      </c>
      <c r="D64" s="217" t="s">
        <v>161</v>
      </c>
      <c r="E64" s="179">
        <f t="shared" si="14"/>
        <v>890.76433121019102</v>
      </c>
      <c r="F64" s="259">
        <v>3.14</v>
      </c>
      <c r="G64" s="267">
        <v>2797</v>
      </c>
      <c r="H64" s="259"/>
      <c r="I64" s="258"/>
      <c r="J64" s="177"/>
      <c r="K64" s="261"/>
      <c r="L64" s="269"/>
      <c r="M64" s="261"/>
      <c r="N64" s="262"/>
      <c r="O64" s="319"/>
      <c r="P64" s="236">
        <f t="shared" si="7"/>
        <v>0</v>
      </c>
      <c r="Q64" s="86">
        <f t="shared" si="8"/>
        <v>0</v>
      </c>
      <c r="R64" s="227">
        <f t="shared" si="9"/>
        <v>-1</v>
      </c>
      <c r="S64" s="295"/>
      <c r="T64" s="188"/>
    </row>
    <row r="65" spans="1:20" s="60" customFormat="1" ht="15.75">
      <c r="A65" s="169"/>
      <c r="B65" s="296" t="s">
        <v>196</v>
      </c>
      <c r="C65" s="208" t="s">
        <v>41</v>
      </c>
      <c r="D65" s="217" t="s">
        <v>161</v>
      </c>
      <c r="E65" s="179">
        <f t="shared" si="14"/>
        <v>560</v>
      </c>
      <c r="F65" s="259">
        <v>0.1</v>
      </c>
      <c r="G65" s="267">
        <v>56</v>
      </c>
      <c r="H65" s="283"/>
      <c r="I65" s="258"/>
      <c r="J65" s="177"/>
      <c r="K65" s="262"/>
      <c r="L65" s="269"/>
      <c r="M65" s="262"/>
      <c r="N65" s="262"/>
      <c r="O65" s="319"/>
      <c r="P65" s="236">
        <f t="shared" si="7"/>
        <v>0</v>
      </c>
      <c r="Q65" s="86">
        <f t="shared" si="8"/>
        <v>0</v>
      </c>
      <c r="R65" s="227">
        <f t="shared" si="9"/>
        <v>-1</v>
      </c>
      <c r="S65" s="295"/>
      <c r="T65" s="188"/>
    </row>
    <row r="66" spans="1:20" s="249" customFormat="1" ht="15.75">
      <c r="A66" s="244"/>
      <c r="B66" s="315" t="s">
        <v>137</v>
      </c>
      <c r="C66" s="306"/>
      <c r="D66" s="306"/>
      <c r="E66" s="179"/>
      <c r="F66" s="266"/>
      <c r="G66" s="309"/>
      <c r="H66" s="247"/>
      <c r="I66" s="291"/>
      <c r="J66" s="246"/>
      <c r="K66" s="247"/>
      <c r="L66" s="176"/>
      <c r="M66" s="247"/>
      <c r="N66" s="272"/>
      <c r="O66" s="294"/>
      <c r="P66" s="236"/>
      <c r="Q66" s="86"/>
      <c r="R66" s="227"/>
      <c r="S66" s="295"/>
      <c r="T66" s="190"/>
    </row>
    <row r="67" spans="1:20" s="249" customFormat="1" ht="15.75">
      <c r="A67" s="244" t="s">
        <v>116</v>
      </c>
      <c r="B67" s="334" t="s">
        <v>197</v>
      </c>
      <c r="C67" s="197" t="s">
        <v>41</v>
      </c>
      <c r="D67" s="285" t="s">
        <v>161</v>
      </c>
      <c r="E67" s="321">
        <f t="shared" ref="E67:E72" si="29">G67/F67</f>
        <v>648.02924634420685</v>
      </c>
      <c r="F67" s="332">
        <f>F68</f>
        <v>4.4450000000000003</v>
      </c>
      <c r="G67" s="341">
        <f>SUM(G68:G69)</f>
        <v>2880.49</v>
      </c>
      <c r="H67" s="247"/>
      <c r="I67" s="291"/>
      <c r="J67" s="246">
        <f>L67/K67</f>
        <v>646.90524371953518</v>
      </c>
      <c r="K67" s="332">
        <f>K68</f>
        <v>4.4450000000000003</v>
      </c>
      <c r="L67" s="335">
        <f>SUM(L68:L69)</f>
        <v>2875.4938083333341</v>
      </c>
      <c r="M67" s="332">
        <f>M68</f>
        <v>4.4450000000000003</v>
      </c>
      <c r="N67" s="335">
        <f>SUM(N68:N69)</f>
        <v>2875.4938083333341</v>
      </c>
      <c r="O67" s="294"/>
      <c r="P67" s="234">
        <f t="shared" si="7"/>
        <v>-4.4450000000000003</v>
      </c>
      <c r="Q67" s="87">
        <f t="shared" si="8"/>
        <v>-2875.4938083333341</v>
      </c>
      <c r="R67" s="226">
        <f t="shared" si="9"/>
        <v>-1.7344936683222638E-3</v>
      </c>
      <c r="S67" s="324"/>
      <c r="T67" s="190"/>
    </row>
    <row r="68" spans="1:20" s="60" customFormat="1" ht="15.75">
      <c r="A68" s="169"/>
      <c r="B68" s="296" t="s">
        <v>156</v>
      </c>
      <c r="C68" s="208" t="s">
        <v>41</v>
      </c>
      <c r="D68" s="217" t="s">
        <v>161</v>
      </c>
      <c r="E68" s="179">
        <f t="shared" si="29"/>
        <v>630.03149606299201</v>
      </c>
      <c r="F68" s="280">
        <v>4.4450000000000003</v>
      </c>
      <c r="G68" s="297">
        <v>2800.49</v>
      </c>
      <c r="H68" s="178"/>
      <c r="I68" s="260"/>
      <c r="J68" s="177">
        <f>L68/K68</f>
        <v>630.72833145856782</v>
      </c>
      <c r="K68" s="280">
        <v>4.4450000000000003</v>
      </c>
      <c r="L68" s="281">
        <f>(1235.6737+2128.63122)/1.2</f>
        <v>2803.587433333334</v>
      </c>
      <c r="M68" s="280">
        <v>4.4450000000000003</v>
      </c>
      <c r="N68" s="281">
        <f>(1235.6737+2128.63122)/1.2</f>
        <v>2803.587433333334</v>
      </c>
      <c r="O68" s="319"/>
      <c r="P68" s="236">
        <f t="shared" si="7"/>
        <v>-4.4450000000000003</v>
      </c>
      <c r="Q68" s="86">
        <f t="shared" si="8"/>
        <v>-2803.587433333334</v>
      </c>
      <c r="R68" s="227">
        <f t="shared" si="9"/>
        <v>1.1060326347655267E-3</v>
      </c>
      <c r="S68" s="295"/>
      <c r="T68" s="188"/>
    </row>
    <row r="69" spans="1:20" s="60" customFormat="1" ht="15.75">
      <c r="A69" s="169"/>
      <c r="B69" s="296" t="s">
        <v>198</v>
      </c>
      <c r="C69" s="208" t="s">
        <v>42</v>
      </c>
      <c r="D69" s="217" t="s">
        <v>161</v>
      </c>
      <c r="E69" s="179">
        <f t="shared" si="29"/>
        <v>80</v>
      </c>
      <c r="F69" s="280" t="s">
        <v>160</v>
      </c>
      <c r="G69" s="297">
        <v>80</v>
      </c>
      <c r="H69" s="168"/>
      <c r="I69" s="135"/>
      <c r="J69" s="179">
        <f t="shared" ref="J69" si="30">L69/K69</f>
        <v>71.906374999999997</v>
      </c>
      <c r="K69" s="280" t="s">
        <v>160</v>
      </c>
      <c r="L69" s="281">
        <f>86.28765/1.2</f>
        <v>71.906374999999997</v>
      </c>
      <c r="M69" s="280" t="s">
        <v>160</v>
      </c>
      <c r="N69" s="281">
        <f>86.28765/1.2</f>
        <v>71.906374999999997</v>
      </c>
      <c r="O69" s="319"/>
      <c r="P69" s="89">
        <f t="shared" ref="P69" si="31">H69-K69</f>
        <v>-1</v>
      </c>
      <c r="Q69" s="86">
        <f t="shared" ref="Q69" si="32">I69-L69</f>
        <v>-71.906374999999997</v>
      </c>
      <c r="R69" s="227">
        <f t="shared" ref="R69" si="33">(J69-E69)/E69</f>
        <v>-0.10117031250000004</v>
      </c>
      <c r="S69" s="295"/>
      <c r="T69" s="188"/>
    </row>
    <row r="70" spans="1:20" s="249" customFormat="1" ht="15.75">
      <c r="A70" s="244" t="s">
        <v>117</v>
      </c>
      <c r="B70" s="334" t="s">
        <v>199</v>
      </c>
      <c r="C70" s="197" t="s">
        <v>41</v>
      </c>
      <c r="D70" s="285" t="s">
        <v>161</v>
      </c>
      <c r="E70" s="321">
        <f t="shared" si="29"/>
        <v>454.93902439024396</v>
      </c>
      <c r="F70" s="332">
        <f>F71</f>
        <v>3.28</v>
      </c>
      <c r="G70" s="341">
        <f>SUM(G71:G72)</f>
        <v>1492.2</v>
      </c>
      <c r="H70" s="247"/>
      <c r="I70" s="176"/>
      <c r="J70" s="246"/>
      <c r="K70" s="247"/>
      <c r="L70" s="176"/>
      <c r="M70" s="247"/>
      <c r="N70" s="272"/>
      <c r="O70" s="294"/>
      <c r="P70" s="234">
        <f t="shared" si="7"/>
        <v>0</v>
      </c>
      <c r="Q70" s="87">
        <f t="shared" si="8"/>
        <v>0</v>
      </c>
      <c r="R70" s="226">
        <f t="shared" si="9"/>
        <v>-1</v>
      </c>
      <c r="S70" s="324"/>
      <c r="T70" s="190"/>
    </row>
    <row r="71" spans="1:20" s="60" customFormat="1" ht="15.75">
      <c r="A71" s="169"/>
      <c r="B71" s="296" t="s">
        <v>156</v>
      </c>
      <c r="C71" s="296"/>
      <c r="D71" s="217" t="s">
        <v>161</v>
      </c>
      <c r="E71" s="179">
        <f t="shared" si="29"/>
        <v>430.54878048780489</v>
      </c>
      <c r="F71" s="280">
        <v>3.28</v>
      </c>
      <c r="G71" s="297">
        <v>1412.2</v>
      </c>
      <c r="H71" s="166"/>
      <c r="I71" s="175"/>
      <c r="J71" s="177"/>
      <c r="K71" s="263"/>
      <c r="L71" s="264"/>
      <c r="M71" s="263"/>
      <c r="N71" s="275"/>
      <c r="O71" s="319"/>
      <c r="P71" s="236">
        <f t="shared" si="7"/>
        <v>0</v>
      </c>
      <c r="Q71" s="86">
        <f t="shared" si="8"/>
        <v>0</v>
      </c>
      <c r="R71" s="227">
        <f t="shared" si="9"/>
        <v>-1</v>
      </c>
      <c r="S71" s="295"/>
      <c r="T71" s="188"/>
    </row>
    <row r="72" spans="1:20" s="60" customFormat="1" ht="15.75">
      <c r="A72" s="169"/>
      <c r="B72" s="296" t="s">
        <v>200</v>
      </c>
      <c r="C72" s="208" t="s">
        <v>42</v>
      </c>
      <c r="D72" s="217" t="s">
        <v>161</v>
      </c>
      <c r="E72" s="179">
        <f t="shared" si="29"/>
        <v>80</v>
      </c>
      <c r="F72" s="299" t="s">
        <v>160</v>
      </c>
      <c r="G72" s="297">
        <v>80</v>
      </c>
      <c r="H72" s="178"/>
      <c r="I72" s="175"/>
      <c r="J72" s="177"/>
      <c r="K72" s="265"/>
      <c r="L72" s="264"/>
      <c r="M72" s="265"/>
      <c r="N72" s="275"/>
      <c r="O72" s="319"/>
      <c r="P72" s="89">
        <f t="shared" si="7"/>
        <v>0</v>
      </c>
      <c r="Q72" s="86">
        <f t="shared" si="8"/>
        <v>0</v>
      </c>
      <c r="R72" s="227">
        <f t="shared" si="9"/>
        <v>-1</v>
      </c>
      <c r="S72" s="295"/>
      <c r="T72" s="188"/>
    </row>
    <row r="73" spans="1:20" s="60" customFormat="1" ht="15.75">
      <c r="A73" s="169"/>
      <c r="B73" s="315" t="s">
        <v>93</v>
      </c>
      <c r="C73" s="306"/>
      <c r="D73" s="306"/>
      <c r="E73" s="179"/>
      <c r="F73" s="258"/>
      <c r="G73" s="310"/>
      <c r="H73" s="178"/>
      <c r="I73" s="175"/>
      <c r="J73" s="177"/>
      <c r="K73" s="265"/>
      <c r="L73" s="264"/>
      <c r="M73" s="265"/>
      <c r="N73" s="275"/>
      <c r="O73" s="294"/>
      <c r="P73" s="236"/>
      <c r="Q73" s="86"/>
      <c r="R73" s="227"/>
      <c r="S73" s="295"/>
      <c r="T73" s="188"/>
    </row>
    <row r="74" spans="1:20" s="249" customFormat="1" ht="15.75">
      <c r="A74" s="244" t="s">
        <v>118</v>
      </c>
      <c r="B74" s="334" t="s">
        <v>201</v>
      </c>
      <c r="C74" s="197" t="s">
        <v>41</v>
      </c>
      <c r="D74" s="285" t="s">
        <v>161</v>
      </c>
      <c r="E74" s="321">
        <f>G74/F74</f>
        <v>818.01487778958563</v>
      </c>
      <c r="F74" s="332">
        <f>SUM(F75:F76)</f>
        <v>4.7050000000000001</v>
      </c>
      <c r="G74" s="341">
        <f>SUM(G75:G77)</f>
        <v>3848.76</v>
      </c>
      <c r="H74" s="251"/>
      <c r="I74" s="248"/>
      <c r="J74" s="87"/>
      <c r="K74" s="92"/>
      <c r="L74" s="87"/>
      <c r="M74" s="92"/>
      <c r="N74" s="92"/>
      <c r="O74" s="294"/>
      <c r="P74" s="236">
        <f t="shared" si="7"/>
        <v>0</v>
      </c>
      <c r="Q74" s="86">
        <f t="shared" si="8"/>
        <v>0</v>
      </c>
      <c r="R74" s="227">
        <f t="shared" si="9"/>
        <v>-1</v>
      </c>
      <c r="S74" s="324"/>
      <c r="T74" s="190"/>
    </row>
    <row r="75" spans="1:20" s="60" customFormat="1" ht="15.75" customHeight="1">
      <c r="A75" s="169"/>
      <c r="B75" s="296" t="s">
        <v>156</v>
      </c>
      <c r="C75" s="208" t="s">
        <v>41</v>
      </c>
      <c r="D75" s="217" t="s">
        <v>161</v>
      </c>
      <c r="E75" s="179">
        <f>G75/F75</f>
        <v>801.38510638297873</v>
      </c>
      <c r="F75" s="280">
        <v>4.7</v>
      </c>
      <c r="G75" s="297">
        <v>3766.51</v>
      </c>
      <c r="H75" s="166"/>
      <c r="I75" s="168"/>
      <c r="J75" s="86"/>
      <c r="K75" s="166"/>
      <c r="L75" s="342"/>
      <c r="M75" s="166"/>
      <c r="N75" s="168"/>
      <c r="O75" s="319"/>
      <c r="P75" s="236">
        <f t="shared" ref="P75:P110" si="34">H75-K75</f>
        <v>0</v>
      </c>
      <c r="Q75" s="86">
        <f t="shared" ref="Q75:Q110" si="35">I75-L75</f>
        <v>0</v>
      </c>
      <c r="R75" s="227">
        <f t="shared" ref="R75:R110" si="36">(J75-E75)/E75</f>
        <v>-1</v>
      </c>
      <c r="S75" s="295"/>
      <c r="T75" s="188"/>
    </row>
    <row r="76" spans="1:20" s="60" customFormat="1" ht="15.75">
      <c r="A76" s="169"/>
      <c r="B76" s="296" t="s">
        <v>157</v>
      </c>
      <c r="C76" s="208" t="s">
        <v>41</v>
      </c>
      <c r="D76" s="217" t="s">
        <v>161</v>
      </c>
      <c r="E76" s="179">
        <f t="shared" ref="E76:E81" si="37">G76/F76</f>
        <v>450</v>
      </c>
      <c r="F76" s="300">
        <v>5.0000000000000001E-3</v>
      </c>
      <c r="G76" s="297">
        <v>2.25</v>
      </c>
      <c r="H76" s="263"/>
      <c r="I76" s="266"/>
      <c r="J76" s="86"/>
      <c r="K76" s="263"/>
      <c r="L76" s="86"/>
      <c r="M76" s="263"/>
      <c r="N76" s="270"/>
      <c r="O76" s="319"/>
      <c r="P76" s="236">
        <f t="shared" si="34"/>
        <v>0</v>
      </c>
      <c r="Q76" s="86">
        <f t="shared" si="35"/>
        <v>0</v>
      </c>
      <c r="R76" s="227">
        <f t="shared" si="36"/>
        <v>-1</v>
      </c>
      <c r="S76" s="295"/>
      <c r="T76" s="188"/>
    </row>
    <row r="77" spans="1:20" s="60" customFormat="1" ht="31.5">
      <c r="A77" s="169"/>
      <c r="B77" s="296" t="s">
        <v>202</v>
      </c>
      <c r="C77" s="208" t="s">
        <v>42</v>
      </c>
      <c r="D77" s="217" t="s">
        <v>161</v>
      </c>
      <c r="E77" s="179">
        <f t="shared" si="37"/>
        <v>80</v>
      </c>
      <c r="F77" s="300">
        <v>1</v>
      </c>
      <c r="G77" s="297">
        <v>80</v>
      </c>
      <c r="H77" s="166"/>
      <c r="I77" s="168"/>
      <c r="J77" s="86"/>
      <c r="K77" s="90"/>
      <c r="L77" s="86"/>
      <c r="M77" s="90"/>
      <c r="N77" s="90"/>
      <c r="O77" s="319"/>
      <c r="P77" s="89">
        <f t="shared" si="34"/>
        <v>0</v>
      </c>
      <c r="Q77" s="86">
        <f t="shared" si="35"/>
        <v>0</v>
      </c>
      <c r="R77" s="227">
        <f t="shared" si="36"/>
        <v>-1</v>
      </c>
      <c r="S77" s="295"/>
      <c r="T77" s="188"/>
    </row>
    <row r="78" spans="1:20" s="249" customFormat="1" ht="15.75">
      <c r="A78" s="244" t="s">
        <v>119</v>
      </c>
      <c r="B78" s="343" t="s">
        <v>203</v>
      </c>
      <c r="C78" s="197" t="s">
        <v>41</v>
      </c>
      <c r="D78" s="285" t="s">
        <v>161</v>
      </c>
      <c r="E78" s="321">
        <f t="shared" si="37"/>
        <v>987.78625336927223</v>
      </c>
      <c r="F78" s="332">
        <f>F79</f>
        <v>3.71</v>
      </c>
      <c r="G78" s="340">
        <f>SUM(G79:G80)</f>
        <v>3664.6869999999999</v>
      </c>
      <c r="H78" s="247"/>
      <c r="I78" s="176"/>
      <c r="J78" s="87"/>
      <c r="K78" s="92"/>
      <c r="L78" s="87"/>
      <c r="M78" s="92"/>
      <c r="N78" s="92"/>
      <c r="O78" s="294"/>
      <c r="P78" s="234">
        <f t="shared" si="34"/>
        <v>0</v>
      </c>
      <c r="Q78" s="87">
        <f t="shared" si="35"/>
        <v>0</v>
      </c>
      <c r="R78" s="226">
        <f t="shared" si="36"/>
        <v>-1</v>
      </c>
      <c r="S78" s="324"/>
      <c r="T78" s="190"/>
    </row>
    <row r="79" spans="1:20" s="60" customFormat="1" ht="15.75" customHeight="1">
      <c r="A79" s="169"/>
      <c r="B79" s="296" t="s">
        <v>156</v>
      </c>
      <c r="C79" s="208" t="s">
        <v>41</v>
      </c>
      <c r="D79" s="217" t="s">
        <v>161</v>
      </c>
      <c r="E79" s="179">
        <f>G79/F79</f>
        <v>966.22291105121292</v>
      </c>
      <c r="F79" s="280">
        <v>3.71</v>
      </c>
      <c r="G79" s="281">
        <v>3584.6869999999999</v>
      </c>
      <c r="H79" s="166"/>
      <c r="I79" s="175"/>
      <c r="J79" s="86"/>
      <c r="K79" s="90"/>
      <c r="L79" s="86"/>
      <c r="M79" s="90"/>
      <c r="N79" s="90"/>
      <c r="O79" s="319"/>
      <c r="P79" s="236">
        <f t="shared" si="34"/>
        <v>0</v>
      </c>
      <c r="Q79" s="86">
        <f t="shared" si="35"/>
        <v>0</v>
      </c>
      <c r="R79" s="227">
        <f t="shared" si="36"/>
        <v>-1</v>
      </c>
      <c r="S79" s="295"/>
      <c r="T79" s="188"/>
    </row>
    <row r="80" spans="1:20" s="60" customFormat="1" ht="15.75">
      <c r="A80" s="169"/>
      <c r="B80" s="296" t="s">
        <v>204</v>
      </c>
      <c r="C80" s="208" t="s">
        <v>42</v>
      </c>
      <c r="D80" s="217" t="s">
        <v>161</v>
      </c>
      <c r="E80" s="179">
        <f t="shared" ref="E80" si="38">G80/F80</f>
        <v>80</v>
      </c>
      <c r="F80" s="282">
        <v>1</v>
      </c>
      <c r="G80" s="281">
        <v>80</v>
      </c>
      <c r="H80" s="166"/>
      <c r="I80" s="175"/>
      <c r="J80" s="86"/>
      <c r="K80" s="90"/>
      <c r="L80" s="86"/>
      <c r="M80" s="90"/>
      <c r="N80" s="90"/>
      <c r="O80" s="319"/>
      <c r="P80" s="89">
        <f t="shared" si="34"/>
        <v>0</v>
      </c>
      <c r="Q80" s="86">
        <f t="shared" si="35"/>
        <v>0</v>
      </c>
      <c r="R80" s="227">
        <f t="shared" si="36"/>
        <v>-1</v>
      </c>
      <c r="S80" s="295"/>
      <c r="T80" s="188"/>
    </row>
    <row r="81" spans="1:20" s="249" customFormat="1" ht="15.75">
      <c r="A81" s="244" t="s">
        <v>120</v>
      </c>
      <c r="B81" s="331" t="s">
        <v>205</v>
      </c>
      <c r="C81" s="197" t="s">
        <v>41</v>
      </c>
      <c r="D81" s="285" t="s">
        <v>161</v>
      </c>
      <c r="E81" s="291">
        <f t="shared" si="37"/>
        <v>900.5488721804511</v>
      </c>
      <c r="F81" s="332">
        <f>SUM(F82:F83)</f>
        <v>2.66</v>
      </c>
      <c r="G81" s="291">
        <f>SUM(G82:G84)</f>
        <v>2395.46</v>
      </c>
      <c r="H81" s="251"/>
      <c r="I81" s="248"/>
      <c r="J81" s="87"/>
      <c r="K81" s="92"/>
      <c r="L81" s="87"/>
      <c r="M81" s="92"/>
      <c r="N81" s="92"/>
      <c r="O81" s="294"/>
      <c r="P81" s="234">
        <f t="shared" ref="P81" si="39">H81-K81</f>
        <v>0</v>
      </c>
      <c r="Q81" s="87">
        <f t="shared" ref="Q81" si="40">I81-L81</f>
        <v>0</v>
      </c>
      <c r="R81" s="226">
        <f t="shared" ref="R81" si="41">(J81-E81)/E81</f>
        <v>-1</v>
      </c>
      <c r="S81" s="324"/>
      <c r="T81" s="190"/>
    </row>
    <row r="82" spans="1:20" s="60" customFormat="1" ht="15.75" customHeight="1">
      <c r="A82" s="169"/>
      <c r="B82" s="296" t="s">
        <v>156</v>
      </c>
      <c r="C82" s="208" t="s">
        <v>41</v>
      </c>
      <c r="D82" s="217" t="s">
        <v>161</v>
      </c>
      <c r="E82" s="179">
        <f>G82/F82</f>
        <v>879.79230769230765</v>
      </c>
      <c r="F82" s="280">
        <v>2.6</v>
      </c>
      <c r="G82" s="281">
        <v>2287.46</v>
      </c>
      <c r="H82" s="166"/>
      <c r="I82" s="175"/>
      <c r="J82" s="177"/>
      <c r="K82" s="166"/>
      <c r="L82" s="175"/>
      <c r="M82" s="166"/>
      <c r="N82" s="273"/>
      <c r="O82" s="319"/>
      <c r="P82" s="236">
        <f t="shared" si="34"/>
        <v>0</v>
      </c>
      <c r="Q82" s="86">
        <f t="shared" si="35"/>
        <v>0</v>
      </c>
      <c r="R82" s="227">
        <f t="shared" si="36"/>
        <v>-1</v>
      </c>
      <c r="S82" s="295"/>
      <c r="T82" s="188"/>
    </row>
    <row r="83" spans="1:20" s="60" customFormat="1" ht="15.75">
      <c r="A83" s="169"/>
      <c r="B83" s="296" t="s">
        <v>196</v>
      </c>
      <c r="C83" s="208" t="s">
        <v>41</v>
      </c>
      <c r="D83" s="217" t="s">
        <v>161</v>
      </c>
      <c r="E83" s="179">
        <f t="shared" ref="E83:E84" si="42">G83/F83</f>
        <v>133.33333333333334</v>
      </c>
      <c r="F83" s="280">
        <v>0.06</v>
      </c>
      <c r="G83" s="281">
        <v>8</v>
      </c>
      <c r="H83" s="166"/>
      <c r="I83" s="175"/>
      <c r="J83" s="177"/>
      <c r="K83" s="263"/>
      <c r="L83" s="270"/>
      <c r="M83" s="263"/>
      <c r="N83" s="266"/>
      <c r="O83" s="319"/>
      <c r="P83" s="236">
        <f t="shared" si="34"/>
        <v>0</v>
      </c>
      <c r="Q83" s="86">
        <f t="shared" si="35"/>
        <v>0</v>
      </c>
      <c r="R83" s="227">
        <f t="shared" si="36"/>
        <v>-1</v>
      </c>
      <c r="S83" s="295"/>
      <c r="T83" s="188"/>
    </row>
    <row r="84" spans="1:20" s="60" customFormat="1" ht="31.5">
      <c r="A84" s="169"/>
      <c r="B84" s="296" t="s">
        <v>206</v>
      </c>
      <c r="C84" s="208" t="s">
        <v>42</v>
      </c>
      <c r="D84" s="217" t="s">
        <v>161</v>
      </c>
      <c r="E84" s="179">
        <f t="shared" si="42"/>
        <v>100</v>
      </c>
      <c r="F84" s="282">
        <v>1</v>
      </c>
      <c r="G84" s="281">
        <v>100</v>
      </c>
      <c r="H84" s="166"/>
      <c r="I84" s="175"/>
      <c r="J84" s="177"/>
      <c r="K84" s="166"/>
      <c r="L84" s="175"/>
      <c r="M84" s="166"/>
      <c r="N84" s="273"/>
      <c r="O84" s="319"/>
      <c r="P84" s="89">
        <f t="shared" si="34"/>
        <v>0</v>
      </c>
      <c r="Q84" s="86">
        <f t="shared" si="35"/>
        <v>0</v>
      </c>
      <c r="R84" s="227">
        <f t="shared" si="36"/>
        <v>-1</v>
      </c>
      <c r="S84" s="295"/>
      <c r="T84" s="188"/>
    </row>
    <row r="85" spans="1:20" s="60" customFormat="1" ht="15.75">
      <c r="A85" s="169"/>
      <c r="B85" s="315" t="s">
        <v>94</v>
      </c>
      <c r="C85" s="306"/>
      <c r="D85" s="306"/>
      <c r="E85" s="179"/>
      <c r="F85" s="266"/>
      <c r="G85" s="309"/>
      <c r="H85" s="166"/>
      <c r="I85" s="175"/>
      <c r="J85" s="177"/>
      <c r="K85" s="263"/>
      <c r="L85" s="270"/>
      <c r="M85" s="263"/>
      <c r="N85" s="266"/>
      <c r="O85" s="294"/>
      <c r="P85" s="236"/>
      <c r="Q85" s="86"/>
      <c r="R85" s="227"/>
      <c r="S85" s="295"/>
      <c r="T85" s="188"/>
    </row>
    <row r="86" spans="1:20" s="249" customFormat="1" ht="15.75">
      <c r="A86" s="244" t="s">
        <v>121</v>
      </c>
      <c r="B86" s="320" t="s">
        <v>207</v>
      </c>
      <c r="C86" s="197" t="s">
        <v>41</v>
      </c>
      <c r="D86" s="285" t="s">
        <v>161</v>
      </c>
      <c r="E86" s="321">
        <f t="shared" ref="E86:E120" si="43">G86/F86</f>
        <v>451.20075440067058</v>
      </c>
      <c r="F86" s="332">
        <f>SUM(F87:F88)</f>
        <v>4.7720000000000002</v>
      </c>
      <c r="G86" s="340">
        <f>SUM(G87:G91)</f>
        <v>2153.13</v>
      </c>
      <c r="H86" s="247"/>
      <c r="I86" s="176"/>
      <c r="J86" s="246"/>
      <c r="K86" s="257"/>
      <c r="L86" s="284"/>
      <c r="M86" s="246"/>
      <c r="N86" s="251"/>
      <c r="O86" s="294"/>
      <c r="P86" s="234">
        <f t="shared" si="34"/>
        <v>0</v>
      </c>
      <c r="Q86" s="87">
        <f t="shared" si="35"/>
        <v>0</v>
      </c>
      <c r="R86" s="226">
        <f t="shared" si="36"/>
        <v>-1</v>
      </c>
      <c r="S86" s="324"/>
      <c r="T86" s="190"/>
    </row>
    <row r="87" spans="1:20" s="60" customFormat="1" ht="15.75">
      <c r="A87" s="169"/>
      <c r="B87" s="298" t="s">
        <v>156</v>
      </c>
      <c r="C87" s="208" t="s">
        <v>41</v>
      </c>
      <c r="D87" s="217" t="s">
        <v>161</v>
      </c>
      <c r="E87" s="179">
        <f t="shared" si="43"/>
        <v>511.67610062893084</v>
      </c>
      <c r="F87" s="259">
        <v>3.18</v>
      </c>
      <c r="G87" s="258">
        <v>1627.13</v>
      </c>
      <c r="H87" s="178"/>
      <c r="I87" s="175"/>
      <c r="J87" s="177"/>
      <c r="K87" s="242"/>
      <c r="L87" s="271"/>
      <c r="M87" s="177"/>
      <c r="N87" s="168"/>
      <c r="O87" s="319"/>
      <c r="P87" s="236">
        <f t="shared" si="34"/>
        <v>0</v>
      </c>
      <c r="Q87" s="86">
        <f t="shared" si="35"/>
        <v>0</v>
      </c>
      <c r="R87" s="227">
        <f t="shared" si="36"/>
        <v>-1</v>
      </c>
      <c r="S87" s="295"/>
      <c r="T87" s="188"/>
    </row>
    <row r="88" spans="1:20" s="60" customFormat="1" ht="15.75">
      <c r="A88" s="169"/>
      <c r="B88" s="298" t="s">
        <v>157</v>
      </c>
      <c r="C88" s="208" t="s">
        <v>41</v>
      </c>
      <c r="D88" s="217" t="s">
        <v>161</v>
      </c>
      <c r="E88" s="179">
        <f t="shared" si="43"/>
        <v>198.49246231155777</v>
      </c>
      <c r="F88" s="259">
        <v>1.5920000000000001</v>
      </c>
      <c r="G88" s="258">
        <v>316</v>
      </c>
      <c r="H88" s="337"/>
      <c r="I88" s="175"/>
      <c r="J88" s="177"/>
      <c r="K88" s="166"/>
      <c r="L88" s="175"/>
      <c r="M88" s="166"/>
      <c r="N88" s="273"/>
      <c r="O88" s="319"/>
      <c r="P88" s="236">
        <f t="shared" si="34"/>
        <v>0</v>
      </c>
      <c r="Q88" s="86">
        <f t="shared" si="35"/>
        <v>0</v>
      </c>
      <c r="R88" s="227">
        <f t="shared" si="36"/>
        <v>-1</v>
      </c>
      <c r="S88" s="295"/>
      <c r="T88" s="188"/>
    </row>
    <row r="89" spans="1:20" s="60" customFormat="1" ht="15.75">
      <c r="A89" s="169"/>
      <c r="B89" s="298" t="s">
        <v>182</v>
      </c>
      <c r="C89" s="208" t="s">
        <v>42</v>
      </c>
      <c r="D89" s="217" t="s">
        <v>161</v>
      </c>
      <c r="E89" s="179">
        <f t="shared" si="43"/>
        <v>45</v>
      </c>
      <c r="F89" s="260">
        <v>2</v>
      </c>
      <c r="G89" s="258">
        <v>90</v>
      </c>
      <c r="H89" s="166"/>
      <c r="I89" s="175"/>
      <c r="J89" s="177"/>
      <c r="K89" s="242"/>
      <c r="L89" s="271"/>
      <c r="M89" s="242"/>
      <c r="N89" s="168"/>
      <c r="O89" s="319"/>
      <c r="P89" s="89">
        <f t="shared" si="34"/>
        <v>0</v>
      </c>
      <c r="Q89" s="86">
        <f t="shared" si="35"/>
        <v>0</v>
      </c>
      <c r="R89" s="227">
        <f t="shared" si="36"/>
        <v>-1</v>
      </c>
      <c r="S89" s="295"/>
      <c r="T89" s="188"/>
    </row>
    <row r="90" spans="1:20" s="60" customFormat="1" ht="15.75">
      <c r="A90" s="169"/>
      <c r="B90" s="298" t="s">
        <v>208</v>
      </c>
      <c r="C90" s="208" t="s">
        <v>42</v>
      </c>
      <c r="D90" s="217" t="s">
        <v>161</v>
      </c>
      <c r="E90" s="179">
        <f t="shared" si="43"/>
        <v>55</v>
      </c>
      <c r="F90" s="260">
        <v>1</v>
      </c>
      <c r="G90" s="258">
        <v>55</v>
      </c>
      <c r="H90" s="178"/>
      <c r="I90" s="175"/>
      <c r="J90" s="177"/>
      <c r="K90" s="243"/>
      <c r="L90" s="271"/>
      <c r="M90" s="243"/>
      <c r="N90" s="168"/>
      <c r="O90" s="319"/>
      <c r="P90" s="89">
        <f t="shared" si="34"/>
        <v>0</v>
      </c>
      <c r="Q90" s="86">
        <f t="shared" si="35"/>
        <v>0</v>
      </c>
      <c r="R90" s="227">
        <f t="shared" si="36"/>
        <v>-1</v>
      </c>
      <c r="S90" s="295"/>
      <c r="T90" s="188"/>
    </row>
    <row r="91" spans="1:20" s="60" customFormat="1" ht="31.5">
      <c r="A91" s="169"/>
      <c r="B91" s="298" t="s">
        <v>209</v>
      </c>
      <c r="C91" s="208" t="s">
        <v>42</v>
      </c>
      <c r="D91" s="217" t="s">
        <v>161</v>
      </c>
      <c r="E91" s="179">
        <f t="shared" si="43"/>
        <v>65</v>
      </c>
      <c r="F91" s="260">
        <v>1</v>
      </c>
      <c r="G91" s="258">
        <v>65</v>
      </c>
      <c r="H91" s="337"/>
      <c r="I91" s="175"/>
      <c r="J91" s="177"/>
      <c r="K91" s="166"/>
      <c r="L91" s="175"/>
      <c r="M91" s="166"/>
      <c r="N91" s="273"/>
      <c r="O91" s="319"/>
      <c r="P91" s="89">
        <f t="shared" si="34"/>
        <v>0</v>
      </c>
      <c r="Q91" s="86">
        <f t="shared" si="35"/>
        <v>0</v>
      </c>
      <c r="R91" s="227">
        <f t="shared" si="36"/>
        <v>-1</v>
      </c>
      <c r="S91" s="295"/>
      <c r="T91" s="188"/>
    </row>
    <row r="92" spans="1:20" s="249" customFormat="1" ht="15.75">
      <c r="A92" s="244" t="s">
        <v>122</v>
      </c>
      <c r="B92" s="331" t="s">
        <v>210</v>
      </c>
      <c r="C92" s="197" t="s">
        <v>41</v>
      </c>
      <c r="D92" s="285" t="s">
        <v>161</v>
      </c>
      <c r="E92" s="321">
        <f t="shared" si="43"/>
        <v>529.33132731527917</v>
      </c>
      <c r="F92" s="325">
        <f>F93</f>
        <v>2.9910000000000001</v>
      </c>
      <c r="G92" s="328">
        <f>G93</f>
        <v>1583.23</v>
      </c>
      <c r="H92" s="325"/>
      <c r="I92" s="328"/>
      <c r="J92" s="246"/>
      <c r="K92" s="257"/>
      <c r="L92" s="284"/>
      <c r="M92" s="257"/>
      <c r="N92" s="251"/>
      <c r="O92" s="294"/>
      <c r="P92" s="234">
        <f t="shared" si="34"/>
        <v>0</v>
      </c>
      <c r="Q92" s="87">
        <f t="shared" si="35"/>
        <v>0</v>
      </c>
      <c r="R92" s="226">
        <f t="shared" si="36"/>
        <v>-1</v>
      </c>
      <c r="S92" s="324"/>
      <c r="T92" s="190"/>
    </row>
    <row r="93" spans="1:20" s="60" customFormat="1" ht="15.75">
      <c r="A93" s="169"/>
      <c r="B93" s="296" t="s">
        <v>156</v>
      </c>
      <c r="C93" s="208" t="s">
        <v>41</v>
      </c>
      <c r="D93" s="217" t="s">
        <v>161</v>
      </c>
      <c r="E93" s="179">
        <f t="shared" si="43"/>
        <v>529.33132731527917</v>
      </c>
      <c r="F93" s="263">
        <v>2.9910000000000001</v>
      </c>
      <c r="G93" s="264">
        <v>1583.23</v>
      </c>
      <c r="H93" s="168"/>
      <c r="I93" s="135"/>
      <c r="J93" s="177"/>
      <c r="K93" s="90"/>
      <c r="L93" s="86"/>
      <c r="M93" s="90"/>
      <c r="N93" s="90"/>
      <c r="O93" s="319"/>
      <c r="P93" s="236">
        <f t="shared" ref="P93" si="44">H93-K93</f>
        <v>0</v>
      </c>
      <c r="Q93" s="86">
        <f t="shared" ref="Q93" si="45">I93-L93</f>
        <v>0</v>
      </c>
      <c r="R93" s="227">
        <f t="shared" ref="R93" si="46">(J93-E93)/E93</f>
        <v>-1</v>
      </c>
      <c r="S93" s="295"/>
      <c r="T93" s="188"/>
    </row>
    <row r="94" spans="1:20" s="249" customFormat="1" ht="15.75">
      <c r="A94" s="244" t="s">
        <v>123</v>
      </c>
      <c r="B94" s="331" t="s">
        <v>211</v>
      </c>
      <c r="C94" s="197" t="s">
        <v>41</v>
      </c>
      <c r="D94" s="285" t="s">
        <v>161</v>
      </c>
      <c r="E94" s="321">
        <f t="shared" si="43"/>
        <v>637.6648044692738</v>
      </c>
      <c r="F94" s="325">
        <f>SUM(F95:F96)</f>
        <v>1.79</v>
      </c>
      <c r="G94" s="344">
        <f>SUM(G95:G98)</f>
        <v>1141.42</v>
      </c>
      <c r="H94" s="256"/>
      <c r="I94" s="176"/>
      <c r="J94" s="246"/>
      <c r="K94" s="247"/>
      <c r="L94" s="176"/>
      <c r="M94" s="247"/>
      <c r="N94" s="272"/>
      <c r="O94" s="294"/>
      <c r="P94" s="234">
        <f t="shared" si="34"/>
        <v>0</v>
      </c>
      <c r="Q94" s="87">
        <f t="shared" si="35"/>
        <v>0</v>
      </c>
      <c r="R94" s="226">
        <f t="shared" si="36"/>
        <v>-1</v>
      </c>
      <c r="S94" s="324"/>
      <c r="T94" s="190"/>
    </row>
    <row r="95" spans="1:20" s="60" customFormat="1" ht="15.75">
      <c r="A95" s="169"/>
      <c r="B95" s="296" t="s">
        <v>156</v>
      </c>
      <c r="C95" s="208" t="s">
        <v>41</v>
      </c>
      <c r="D95" s="217" t="s">
        <v>161</v>
      </c>
      <c r="E95" s="179">
        <f>G95/F95</f>
        <v>543.74011299435028</v>
      </c>
      <c r="F95" s="280">
        <v>1.77</v>
      </c>
      <c r="G95" s="297">
        <v>962.42000000000007</v>
      </c>
      <c r="H95" s="263"/>
      <c r="I95" s="266"/>
      <c r="J95" s="177"/>
      <c r="K95" s="242"/>
      <c r="L95" s="271"/>
      <c r="M95" s="242"/>
      <c r="N95" s="168"/>
      <c r="O95" s="319"/>
      <c r="P95" s="236">
        <f t="shared" si="34"/>
        <v>0</v>
      </c>
      <c r="Q95" s="86">
        <f t="shared" si="35"/>
        <v>0</v>
      </c>
      <c r="R95" s="227">
        <f t="shared" si="36"/>
        <v>-1</v>
      </c>
      <c r="S95" s="295"/>
      <c r="T95" s="188"/>
    </row>
    <row r="96" spans="1:20" s="60" customFormat="1" ht="15.75">
      <c r="A96" s="169"/>
      <c r="B96" s="296" t="s">
        <v>157</v>
      </c>
      <c r="C96" s="208" t="s">
        <v>41</v>
      </c>
      <c r="D96" s="217" t="s">
        <v>161</v>
      </c>
      <c r="E96" s="179">
        <f t="shared" ref="E96:E98" si="47">G96/F96</f>
        <v>450</v>
      </c>
      <c r="F96" s="280">
        <v>0.02</v>
      </c>
      <c r="G96" s="297">
        <v>9</v>
      </c>
      <c r="H96" s="263"/>
      <c r="I96" s="266"/>
      <c r="J96" s="177"/>
      <c r="K96" s="242"/>
      <c r="L96" s="271"/>
      <c r="M96" s="242"/>
      <c r="N96" s="168"/>
      <c r="O96" s="319"/>
      <c r="P96" s="236">
        <f t="shared" si="34"/>
        <v>0</v>
      </c>
      <c r="Q96" s="86">
        <f t="shared" si="35"/>
        <v>0</v>
      </c>
      <c r="R96" s="227">
        <f t="shared" si="36"/>
        <v>-1</v>
      </c>
      <c r="S96" s="295"/>
      <c r="T96" s="188"/>
    </row>
    <row r="97" spans="1:20" s="60" customFormat="1" ht="31.5">
      <c r="A97" s="169"/>
      <c r="B97" s="296" t="s">
        <v>212</v>
      </c>
      <c r="C97" s="208" t="s">
        <v>42</v>
      </c>
      <c r="D97" s="217" t="s">
        <v>161</v>
      </c>
      <c r="E97" s="179">
        <f t="shared" si="47"/>
        <v>45</v>
      </c>
      <c r="F97" s="282">
        <v>2</v>
      </c>
      <c r="G97" s="297">
        <v>90</v>
      </c>
      <c r="H97" s="265"/>
      <c r="I97" s="266"/>
      <c r="J97" s="177"/>
      <c r="K97" s="243"/>
      <c r="L97" s="271"/>
      <c r="M97" s="243"/>
      <c r="N97" s="168"/>
      <c r="O97" s="319"/>
      <c r="P97" s="89">
        <f t="shared" si="34"/>
        <v>0</v>
      </c>
      <c r="Q97" s="86">
        <f t="shared" si="35"/>
        <v>0</v>
      </c>
      <c r="R97" s="227">
        <f t="shared" si="36"/>
        <v>-1</v>
      </c>
      <c r="S97" s="295"/>
      <c r="T97" s="188"/>
    </row>
    <row r="98" spans="1:20" s="60" customFormat="1" ht="15.75">
      <c r="A98" s="169"/>
      <c r="B98" s="296" t="s">
        <v>213</v>
      </c>
      <c r="C98" s="208" t="s">
        <v>42</v>
      </c>
      <c r="D98" s="217" t="s">
        <v>161</v>
      </c>
      <c r="E98" s="179">
        <f t="shared" si="47"/>
        <v>80</v>
      </c>
      <c r="F98" s="282">
        <v>1</v>
      </c>
      <c r="G98" s="297">
        <v>80</v>
      </c>
      <c r="H98" s="168"/>
      <c r="I98" s="135"/>
      <c r="J98" s="86"/>
      <c r="K98" s="90"/>
      <c r="L98" s="86"/>
      <c r="M98" s="90"/>
      <c r="N98" s="90"/>
      <c r="O98" s="319"/>
      <c r="P98" s="89">
        <f t="shared" ref="P98" si="48">H98-K98</f>
        <v>0</v>
      </c>
      <c r="Q98" s="86">
        <f t="shared" ref="Q98" si="49">I98-L98</f>
        <v>0</v>
      </c>
      <c r="R98" s="227">
        <f t="shared" ref="R98" si="50">(J98-E98)/E98</f>
        <v>-1</v>
      </c>
      <c r="S98" s="295"/>
      <c r="T98" s="188"/>
    </row>
    <row r="99" spans="1:20" s="249" customFormat="1" ht="15.75" customHeight="1">
      <c r="A99" s="244"/>
      <c r="B99" s="315" t="s">
        <v>214</v>
      </c>
      <c r="C99" s="306"/>
      <c r="D99" s="306"/>
      <c r="E99" s="179"/>
      <c r="F99" s="266"/>
      <c r="G99" s="309"/>
      <c r="H99" s="256"/>
      <c r="I99" s="176"/>
      <c r="J99" s="246"/>
      <c r="K99" s="247"/>
      <c r="L99" s="176"/>
      <c r="M99" s="247"/>
      <c r="N99" s="272"/>
      <c r="O99" s="294"/>
      <c r="P99" s="236"/>
      <c r="Q99" s="86"/>
      <c r="R99" s="227"/>
      <c r="S99" s="295"/>
      <c r="T99" s="190"/>
    </row>
    <row r="100" spans="1:20" s="249" customFormat="1" ht="15.75">
      <c r="A100" s="244" t="s">
        <v>124</v>
      </c>
      <c r="B100" s="331" t="s">
        <v>215</v>
      </c>
      <c r="C100" s="197" t="s">
        <v>41</v>
      </c>
      <c r="D100" s="285" t="s">
        <v>161</v>
      </c>
      <c r="E100" s="321">
        <f t="shared" si="43"/>
        <v>721.49494949494942</v>
      </c>
      <c r="F100" s="325">
        <f>F101</f>
        <v>0.99</v>
      </c>
      <c r="G100" s="326">
        <f>SUM(G101:G102)</f>
        <v>714.28</v>
      </c>
      <c r="H100" s="325"/>
      <c r="I100" s="328"/>
      <c r="J100" s="246"/>
      <c r="K100" s="92"/>
      <c r="L100" s="345"/>
      <c r="M100" s="92"/>
      <c r="N100" s="346"/>
      <c r="O100" s="294"/>
      <c r="P100" s="234">
        <f t="shared" si="34"/>
        <v>0</v>
      </c>
      <c r="Q100" s="87">
        <f t="shared" si="35"/>
        <v>0</v>
      </c>
      <c r="R100" s="226">
        <f t="shared" si="36"/>
        <v>-1</v>
      </c>
      <c r="S100" s="324"/>
      <c r="T100" s="190"/>
    </row>
    <row r="101" spans="1:20" s="60" customFormat="1" ht="15.75">
      <c r="A101" s="169"/>
      <c r="B101" s="296" t="s">
        <v>156</v>
      </c>
      <c r="C101" s="208" t="s">
        <v>41</v>
      </c>
      <c r="D101" s="217" t="s">
        <v>161</v>
      </c>
      <c r="E101" s="179">
        <f t="shared" si="43"/>
        <v>640.68686868686871</v>
      </c>
      <c r="F101" s="263">
        <v>0.99</v>
      </c>
      <c r="G101" s="270">
        <v>634.28</v>
      </c>
      <c r="H101" s="166"/>
      <c r="I101" s="175"/>
      <c r="J101" s="177"/>
      <c r="K101" s="166"/>
      <c r="L101" s="175"/>
      <c r="M101" s="166"/>
      <c r="N101" s="273"/>
      <c r="O101" s="319"/>
      <c r="P101" s="236">
        <f t="shared" si="34"/>
        <v>0</v>
      </c>
      <c r="Q101" s="86">
        <f t="shared" si="35"/>
        <v>0</v>
      </c>
      <c r="R101" s="227">
        <f t="shared" si="36"/>
        <v>-1</v>
      </c>
      <c r="S101" s="295"/>
      <c r="T101" s="188"/>
    </row>
    <row r="102" spans="1:20" s="60" customFormat="1" ht="15.75">
      <c r="A102" s="169"/>
      <c r="B102" s="296" t="s">
        <v>216</v>
      </c>
      <c r="C102" s="208" t="s">
        <v>42</v>
      </c>
      <c r="D102" s="217" t="s">
        <v>161</v>
      </c>
      <c r="E102" s="179">
        <f t="shared" si="43"/>
        <v>80</v>
      </c>
      <c r="F102" s="265">
        <v>1</v>
      </c>
      <c r="G102" s="270">
        <v>80</v>
      </c>
      <c r="H102" s="166"/>
      <c r="I102" s="175"/>
      <c r="J102" s="177"/>
      <c r="K102" s="242"/>
      <c r="L102" s="271"/>
      <c r="M102" s="242"/>
      <c r="N102" s="168"/>
      <c r="O102" s="319"/>
      <c r="P102" s="89">
        <f t="shared" si="34"/>
        <v>0</v>
      </c>
      <c r="Q102" s="86">
        <f t="shared" si="35"/>
        <v>0</v>
      </c>
      <c r="R102" s="227">
        <f t="shared" si="36"/>
        <v>-1</v>
      </c>
      <c r="S102" s="295"/>
      <c r="T102" s="188"/>
    </row>
    <row r="103" spans="1:20" s="249" customFormat="1" ht="15.75">
      <c r="A103" s="245" t="s">
        <v>125</v>
      </c>
      <c r="B103" s="331" t="s">
        <v>217</v>
      </c>
      <c r="C103" s="197" t="s">
        <v>41</v>
      </c>
      <c r="D103" s="285" t="s">
        <v>161</v>
      </c>
      <c r="E103" s="321">
        <f t="shared" si="43"/>
        <v>563.58047493403683</v>
      </c>
      <c r="F103" s="325">
        <f>F104</f>
        <v>3.79</v>
      </c>
      <c r="G103" s="326">
        <f>SUM(G104:G105)</f>
        <v>2135.9699999999998</v>
      </c>
      <c r="H103" s="247"/>
      <c r="I103" s="176"/>
      <c r="J103" s="246"/>
      <c r="K103" s="257"/>
      <c r="L103" s="284"/>
      <c r="M103" s="257"/>
      <c r="N103" s="251"/>
      <c r="O103" s="294"/>
      <c r="P103" s="234">
        <f t="shared" si="34"/>
        <v>0</v>
      </c>
      <c r="Q103" s="87">
        <f t="shared" si="35"/>
        <v>0</v>
      </c>
      <c r="R103" s="226">
        <f t="shared" si="36"/>
        <v>-1</v>
      </c>
      <c r="S103" s="324"/>
      <c r="T103" s="190"/>
    </row>
    <row r="104" spans="1:20" s="60" customFormat="1" ht="15.75">
      <c r="A104" s="169"/>
      <c r="B104" s="296" t="s">
        <v>156</v>
      </c>
      <c r="C104" s="208" t="s">
        <v>41</v>
      </c>
      <c r="D104" s="217" t="s">
        <v>161</v>
      </c>
      <c r="E104" s="179">
        <f t="shared" si="43"/>
        <v>542.47229551451187</v>
      </c>
      <c r="F104" s="263">
        <v>3.79</v>
      </c>
      <c r="G104" s="270">
        <v>2055.9699999999998</v>
      </c>
      <c r="H104" s="178"/>
      <c r="I104" s="175"/>
      <c r="J104" s="177"/>
      <c r="K104" s="243"/>
      <c r="L104" s="271"/>
      <c r="M104" s="243"/>
      <c r="N104" s="168"/>
      <c r="O104" s="319"/>
      <c r="P104" s="236">
        <f t="shared" si="34"/>
        <v>0</v>
      </c>
      <c r="Q104" s="86">
        <f t="shared" si="35"/>
        <v>0</v>
      </c>
      <c r="R104" s="227">
        <f t="shared" si="36"/>
        <v>-1</v>
      </c>
      <c r="S104" s="295"/>
      <c r="T104" s="188"/>
    </row>
    <row r="105" spans="1:20" s="60" customFormat="1" ht="15.75">
      <c r="A105" s="169"/>
      <c r="B105" s="296" t="s">
        <v>218</v>
      </c>
      <c r="C105" s="208" t="s">
        <v>42</v>
      </c>
      <c r="D105" s="217" t="s">
        <v>161</v>
      </c>
      <c r="E105" s="179">
        <f t="shared" si="43"/>
        <v>80</v>
      </c>
      <c r="F105" s="265">
        <v>1</v>
      </c>
      <c r="G105" s="270">
        <v>80</v>
      </c>
      <c r="H105" s="178"/>
      <c r="I105" s="175"/>
      <c r="J105" s="177"/>
      <c r="K105" s="243"/>
      <c r="L105" s="271"/>
      <c r="M105" s="243"/>
      <c r="N105" s="168"/>
      <c r="O105" s="319"/>
      <c r="P105" s="89">
        <f t="shared" si="34"/>
        <v>0</v>
      </c>
      <c r="Q105" s="86">
        <f t="shared" si="35"/>
        <v>0</v>
      </c>
      <c r="R105" s="227">
        <f t="shared" si="36"/>
        <v>-1</v>
      </c>
      <c r="S105" s="295"/>
      <c r="T105" s="188"/>
    </row>
    <row r="106" spans="1:20" s="249" customFormat="1" ht="15.75" customHeight="1">
      <c r="A106" s="245" t="s">
        <v>126</v>
      </c>
      <c r="B106" s="343" t="s">
        <v>219</v>
      </c>
      <c r="C106" s="197" t="s">
        <v>41</v>
      </c>
      <c r="D106" s="285" t="s">
        <v>161</v>
      </c>
      <c r="E106" s="321">
        <f t="shared" si="43"/>
        <v>620.03404255319151</v>
      </c>
      <c r="F106" s="325">
        <f>SUM(F107:F108)</f>
        <v>3.5249999999999999</v>
      </c>
      <c r="G106" s="349">
        <f>SUM(G107:G110)</f>
        <v>2185.62</v>
      </c>
      <c r="H106" s="252"/>
      <c r="I106" s="136"/>
      <c r="J106" s="246"/>
      <c r="K106" s="247"/>
      <c r="L106" s="176"/>
      <c r="M106" s="247"/>
      <c r="N106" s="272"/>
      <c r="O106" s="294"/>
      <c r="P106" s="234">
        <f t="shared" si="34"/>
        <v>0</v>
      </c>
      <c r="Q106" s="87">
        <f t="shared" si="35"/>
        <v>0</v>
      </c>
      <c r="R106" s="226">
        <f t="shared" si="36"/>
        <v>-1</v>
      </c>
      <c r="S106" s="324"/>
      <c r="T106" s="190"/>
    </row>
    <row r="107" spans="1:20" s="60" customFormat="1" ht="15.75">
      <c r="A107" s="65"/>
      <c r="B107" s="296" t="s">
        <v>156</v>
      </c>
      <c r="C107" s="208" t="s">
        <v>41</v>
      </c>
      <c r="D107" s="217" t="s">
        <v>161</v>
      </c>
      <c r="E107" s="179">
        <f t="shared" si="43"/>
        <v>575.53428571428572</v>
      </c>
      <c r="F107" s="263">
        <v>3.5</v>
      </c>
      <c r="G107" s="266">
        <v>2014.37</v>
      </c>
      <c r="H107" s="263"/>
      <c r="I107" s="266"/>
      <c r="J107" s="177"/>
      <c r="K107" s="286"/>
      <c r="L107" s="241"/>
      <c r="M107" s="286"/>
      <c r="N107" s="274"/>
      <c r="O107" s="319"/>
      <c r="P107" s="236">
        <f t="shared" si="34"/>
        <v>0</v>
      </c>
      <c r="Q107" s="86">
        <f t="shared" si="35"/>
        <v>0</v>
      </c>
      <c r="R107" s="227">
        <f t="shared" si="36"/>
        <v>-1</v>
      </c>
      <c r="S107" s="295"/>
      <c r="T107" s="188"/>
    </row>
    <row r="108" spans="1:20" s="60" customFormat="1" ht="15.75">
      <c r="A108" s="65"/>
      <c r="B108" s="296" t="s">
        <v>157</v>
      </c>
      <c r="C108" s="208" t="s">
        <v>41</v>
      </c>
      <c r="D108" s="217" t="s">
        <v>161</v>
      </c>
      <c r="E108" s="179">
        <f t="shared" si="43"/>
        <v>450</v>
      </c>
      <c r="F108" s="263">
        <v>2.5000000000000001E-2</v>
      </c>
      <c r="G108" s="266">
        <v>11.25</v>
      </c>
      <c r="H108" s="347"/>
      <c r="I108" s="348"/>
      <c r="J108" s="177"/>
      <c r="K108" s="347"/>
      <c r="L108" s="348"/>
      <c r="M108" s="347"/>
      <c r="N108" s="350"/>
      <c r="O108" s="319"/>
      <c r="P108" s="236">
        <f t="shared" si="34"/>
        <v>0</v>
      </c>
      <c r="Q108" s="86">
        <f t="shared" si="35"/>
        <v>0</v>
      </c>
      <c r="R108" s="227">
        <f t="shared" si="36"/>
        <v>-1</v>
      </c>
      <c r="S108" s="295"/>
      <c r="T108" s="188"/>
    </row>
    <row r="109" spans="1:20" s="60" customFormat="1" ht="31.5">
      <c r="A109" s="65"/>
      <c r="B109" s="296" t="s">
        <v>220</v>
      </c>
      <c r="C109" s="208" t="s">
        <v>42</v>
      </c>
      <c r="D109" s="217" t="s">
        <v>161</v>
      </c>
      <c r="E109" s="179">
        <f t="shared" si="43"/>
        <v>80</v>
      </c>
      <c r="F109" s="265">
        <v>1</v>
      </c>
      <c r="G109" s="266">
        <v>80</v>
      </c>
      <c r="H109" s="166"/>
      <c r="I109" s="175"/>
      <c r="J109" s="177"/>
      <c r="K109" s="263"/>
      <c r="L109" s="270"/>
      <c r="M109" s="263"/>
      <c r="N109" s="266"/>
      <c r="O109" s="319"/>
      <c r="P109" s="89">
        <f t="shared" si="34"/>
        <v>0</v>
      </c>
      <c r="Q109" s="86">
        <f t="shared" si="35"/>
        <v>0</v>
      </c>
      <c r="R109" s="227">
        <f t="shared" si="36"/>
        <v>-1</v>
      </c>
      <c r="S109" s="295"/>
      <c r="T109" s="188"/>
    </row>
    <row r="110" spans="1:20" s="60" customFormat="1" ht="15.75">
      <c r="A110" s="65"/>
      <c r="B110" s="296" t="s">
        <v>221</v>
      </c>
      <c r="C110" s="208" t="s">
        <v>42</v>
      </c>
      <c r="D110" s="217" t="s">
        <v>161</v>
      </c>
      <c r="E110" s="179">
        <f t="shared" si="43"/>
        <v>80</v>
      </c>
      <c r="F110" s="265">
        <v>1</v>
      </c>
      <c r="G110" s="266">
        <v>80</v>
      </c>
      <c r="H110" s="166"/>
      <c r="I110" s="175"/>
      <c r="J110" s="177"/>
      <c r="K110" s="263"/>
      <c r="L110" s="270"/>
      <c r="M110" s="263"/>
      <c r="N110" s="266"/>
      <c r="O110" s="319"/>
      <c r="P110" s="89">
        <f t="shared" si="34"/>
        <v>0</v>
      </c>
      <c r="Q110" s="86">
        <f t="shared" si="35"/>
        <v>0</v>
      </c>
      <c r="R110" s="227">
        <f t="shared" si="36"/>
        <v>-1</v>
      </c>
      <c r="S110" s="295"/>
      <c r="T110" s="188"/>
    </row>
    <row r="111" spans="1:20" s="60" customFormat="1" ht="15.75">
      <c r="A111" s="65"/>
      <c r="B111" s="315" t="s">
        <v>222</v>
      </c>
      <c r="C111" s="306"/>
      <c r="D111" s="306"/>
      <c r="E111" s="179"/>
      <c r="F111" s="266"/>
      <c r="G111" s="309"/>
      <c r="H111" s="178"/>
      <c r="I111" s="175"/>
      <c r="J111" s="177"/>
      <c r="K111" s="266"/>
      <c r="L111" s="270"/>
      <c r="M111" s="266"/>
      <c r="N111" s="266"/>
      <c r="O111" s="294"/>
      <c r="P111" s="236"/>
      <c r="Q111" s="86"/>
      <c r="R111" s="227"/>
      <c r="S111" s="295"/>
      <c r="T111" s="190"/>
    </row>
    <row r="112" spans="1:20" s="249" customFormat="1" ht="15.75">
      <c r="A112" s="245" t="s">
        <v>127</v>
      </c>
      <c r="B112" s="320" t="s">
        <v>223</v>
      </c>
      <c r="C112" s="197" t="s">
        <v>41</v>
      </c>
      <c r="D112" s="285" t="s">
        <v>161</v>
      </c>
      <c r="E112" s="321">
        <f t="shared" si="43"/>
        <v>478.04420951465642</v>
      </c>
      <c r="F112" s="325">
        <f>F113</f>
        <v>2.081</v>
      </c>
      <c r="G112" s="328">
        <f>G113</f>
        <v>994.81</v>
      </c>
      <c r="H112" s="254"/>
      <c r="I112" s="136"/>
      <c r="J112" s="246"/>
      <c r="K112" s="254"/>
      <c r="L112" s="136"/>
      <c r="M112" s="254"/>
      <c r="N112" s="276"/>
      <c r="O112" s="294"/>
      <c r="P112" s="234">
        <f t="shared" si="1"/>
        <v>0</v>
      </c>
      <c r="Q112" s="87">
        <f t="shared" si="4"/>
        <v>0</v>
      </c>
      <c r="R112" s="226">
        <f t="shared" si="2"/>
        <v>-1</v>
      </c>
      <c r="S112" s="324"/>
      <c r="T112" s="190"/>
    </row>
    <row r="113" spans="1:20" s="60" customFormat="1" ht="15.75">
      <c r="A113" s="65"/>
      <c r="B113" s="296" t="s">
        <v>156</v>
      </c>
      <c r="C113" s="208" t="s">
        <v>41</v>
      </c>
      <c r="D113" s="217" t="s">
        <v>161</v>
      </c>
      <c r="E113" s="179">
        <f t="shared" si="43"/>
        <v>478.04420951465642</v>
      </c>
      <c r="F113" s="263">
        <v>2.081</v>
      </c>
      <c r="G113" s="270">
        <v>994.81</v>
      </c>
      <c r="H113" s="166"/>
      <c r="I113" s="175"/>
      <c r="J113" s="177"/>
      <c r="K113" s="263"/>
      <c r="L113" s="270"/>
      <c r="M113" s="263"/>
      <c r="N113" s="266"/>
      <c r="O113" s="319"/>
      <c r="P113" s="236">
        <f t="shared" si="1"/>
        <v>0</v>
      </c>
      <c r="Q113" s="86">
        <f t="shared" si="4"/>
        <v>0</v>
      </c>
      <c r="R113" s="227">
        <f t="shared" si="2"/>
        <v>-1</v>
      </c>
      <c r="S113" s="295"/>
      <c r="T113" s="188"/>
    </row>
    <row r="114" spans="1:20" s="60" customFormat="1" ht="15.75">
      <c r="A114" s="65"/>
      <c r="B114" s="315" t="s">
        <v>95</v>
      </c>
      <c r="C114" s="306"/>
      <c r="D114" s="306"/>
      <c r="E114" s="179"/>
      <c r="F114" s="266"/>
      <c r="G114" s="309"/>
      <c r="H114" s="166"/>
      <c r="I114" s="175"/>
      <c r="J114" s="177"/>
      <c r="K114" s="263"/>
      <c r="L114" s="270"/>
      <c r="M114" s="263"/>
      <c r="N114" s="266"/>
      <c r="O114" s="294"/>
      <c r="P114" s="236"/>
      <c r="Q114" s="86"/>
      <c r="R114" s="227"/>
      <c r="S114" s="295"/>
      <c r="T114" s="190"/>
    </row>
    <row r="115" spans="1:20" s="249" customFormat="1" ht="15.75">
      <c r="A115" s="245" t="s">
        <v>128</v>
      </c>
      <c r="B115" s="331" t="s">
        <v>224</v>
      </c>
      <c r="C115" s="197" t="s">
        <v>41</v>
      </c>
      <c r="D115" s="285" t="s">
        <v>161</v>
      </c>
      <c r="E115" s="321">
        <f t="shared" si="43"/>
        <v>670.36100196463656</v>
      </c>
      <c r="F115" s="325">
        <f>F116</f>
        <v>4.0720000000000001</v>
      </c>
      <c r="G115" s="326">
        <f>G116</f>
        <v>2729.71</v>
      </c>
      <c r="H115" s="330"/>
      <c r="I115" s="176"/>
      <c r="J115" s="246"/>
      <c r="K115" s="328"/>
      <c r="L115" s="326"/>
      <c r="M115" s="328"/>
      <c r="N115" s="328"/>
      <c r="O115" s="294"/>
      <c r="P115" s="234">
        <f t="shared" ref="P115:P116" si="51">H115-K115</f>
        <v>0</v>
      </c>
      <c r="Q115" s="87">
        <f t="shared" si="4"/>
        <v>0</v>
      </c>
      <c r="R115" s="226">
        <f t="shared" si="2"/>
        <v>-1</v>
      </c>
      <c r="S115" s="324"/>
      <c r="T115" s="190"/>
    </row>
    <row r="116" spans="1:20" s="60" customFormat="1" ht="15.75">
      <c r="A116" s="65"/>
      <c r="B116" s="296" t="s">
        <v>156</v>
      </c>
      <c r="C116" s="208" t="s">
        <v>41</v>
      </c>
      <c r="D116" s="217" t="s">
        <v>161</v>
      </c>
      <c r="E116" s="179">
        <f t="shared" si="43"/>
        <v>670.36100196463656</v>
      </c>
      <c r="F116" s="263">
        <v>4.0720000000000001</v>
      </c>
      <c r="G116" s="270">
        <v>2729.71</v>
      </c>
      <c r="H116" s="178"/>
      <c r="I116" s="175"/>
      <c r="J116" s="177"/>
      <c r="K116" s="265"/>
      <c r="L116" s="270"/>
      <c r="M116" s="265"/>
      <c r="N116" s="266"/>
      <c r="O116" s="319"/>
      <c r="P116" s="236">
        <f t="shared" si="51"/>
        <v>0</v>
      </c>
      <c r="Q116" s="86">
        <f t="shared" si="4"/>
        <v>0</v>
      </c>
      <c r="R116" s="227">
        <f t="shared" si="2"/>
        <v>-1</v>
      </c>
      <c r="S116" s="295"/>
      <c r="T116" s="188"/>
    </row>
    <row r="117" spans="1:20" s="249" customFormat="1" ht="15.75">
      <c r="A117" s="245" t="s">
        <v>129</v>
      </c>
      <c r="B117" s="331" t="s">
        <v>225</v>
      </c>
      <c r="C117" s="197" t="s">
        <v>41</v>
      </c>
      <c r="D117" s="285" t="s">
        <v>161</v>
      </c>
      <c r="E117" s="321">
        <f t="shared" si="43"/>
        <v>750.79755987347494</v>
      </c>
      <c r="F117" s="325">
        <f>F118</f>
        <v>4.4260000000000002</v>
      </c>
      <c r="G117" s="326">
        <f>G118</f>
        <v>3323.03</v>
      </c>
      <c r="H117" s="330"/>
      <c r="I117" s="176"/>
      <c r="J117" s="246"/>
      <c r="K117" s="329"/>
      <c r="L117" s="326"/>
      <c r="M117" s="329"/>
      <c r="N117" s="328"/>
      <c r="O117" s="294"/>
      <c r="P117" s="234">
        <f t="shared" ref="P117:P156" si="52">H117-K117</f>
        <v>0</v>
      </c>
      <c r="Q117" s="87">
        <f t="shared" ref="Q117:Q156" si="53">I117-L117</f>
        <v>0</v>
      </c>
      <c r="R117" s="226">
        <f t="shared" ref="R117:R156" si="54">(J117-E117)/E117</f>
        <v>-1</v>
      </c>
      <c r="S117" s="324"/>
      <c r="T117" s="190"/>
    </row>
    <row r="118" spans="1:20" s="60" customFormat="1" ht="15.75">
      <c r="A118" s="65"/>
      <c r="B118" s="296" t="s">
        <v>156</v>
      </c>
      <c r="C118" s="208" t="s">
        <v>41</v>
      </c>
      <c r="D118" s="217" t="s">
        <v>161</v>
      </c>
      <c r="E118" s="179">
        <f t="shared" si="43"/>
        <v>750.79755987347494</v>
      </c>
      <c r="F118" s="263">
        <v>4.4260000000000002</v>
      </c>
      <c r="G118" s="270">
        <v>3323.03</v>
      </c>
      <c r="H118" s="178"/>
      <c r="I118" s="175"/>
      <c r="J118" s="177"/>
      <c r="K118" s="265"/>
      <c r="L118" s="270"/>
      <c r="M118" s="265"/>
      <c r="N118" s="266"/>
      <c r="O118" s="319"/>
      <c r="P118" s="236">
        <f t="shared" si="52"/>
        <v>0</v>
      </c>
      <c r="Q118" s="86">
        <f t="shared" si="53"/>
        <v>0</v>
      </c>
      <c r="R118" s="227">
        <f t="shared" si="54"/>
        <v>-1</v>
      </c>
      <c r="S118" s="295"/>
      <c r="T118" s="188"/>
    </row>
    <row r="119" spans="1:20" s="249" customFormat="1" ht="15.75">
      <c r="A119" s="245" t="s">
        <v>130</v>
      </c>
      <c r="B119" s="331" t="s">
        <v>226</v>
      </c>
      <c r="C119" s="197" t="s">
        <v>41</v>
      </c>
      <c r="D119" s="285" t="s">
        <v>161</v>
      </c>
      <c r="E119" s="321">
        <f t="shared" si="43"/>
        <v>1138.8760504201682</v>
      </c>
      <c r="F119" s="325">
        <f>F120</f>
        <v>1.9039999999999999</v>
      </c>
      <c r="G119" s="328">
        <f>G120</f>
        <v>2168.42</v>
      </c>
      <c r="H119" s="330"/>
      <c r="I119" s="176"/>
      <c r="J119" s="246"/>
      <c r="K119" s="329"/>
      <c r="L119" s="326"/>
      <c r="M119" s="329"/>
      <c r="N119" s="328"/>
      <c r="O119" s="294"/>
      <c r="P119" s="234">
        <f t="shared" si="52"/>
        <v>0</v>
      </c>
      <c r="Q119" s="87">
        <f t="shared" si="53"/>
        <v>0</v>
      </c>
      <c r="R119" s="226">
        <f t="shared" si="54"/>
        <v>-1</v>
      </c>
      <c r="S119" s="324"/>
      <c r="T119" s="190"/>
    </row>
    <row r="120" spans="1:20" s="60" customFormat="1" ht="15.75">
      <c r="A120" s="65"/>
      <c r="B120" s="296" t="s">
        <v>156</v>
      </c>
      <c r="C120" s="208" t="s">
        <v>41</v>
      </c>
      <c r="D120" s="217" t="s">
        <v>161</v>
      </c>
      <c r="E120" s="179">
        <f t="shared" si="43"/>
        <v>1138.8760504201682</v>
      </c>
      <c r="F120" s="263">
        <v>1.9039999999999999</v>
      </c>
      <c r="G120" s="266">
        <v>2168.42</v>
      </c>
      <c r="H120" s="178"/>
      <c r="I120" s="175"/>
      <c r="J120" s="177"/>
      <c r="K120" s="265"/>
      <c r="L120" s="270"/>
      <c r="M120" s="265"/>
      <c r="N120" s="266"/>
      <c r="O120" s="319"/>
      <c r="P120" s="236">
        <f t="shared" si="52"/>
        <v>0</v>
      </c>
      <c r="Q120" s="86">
        <f t="shared" si="53"/>
        <v>0</v>
      </c>
      <c r="R120" s="227">
        <f t="shared" si="54"/>
        <v>-1</v>
      </c>
      <c r="S120" s="295"/>
      <c r="T120" s="188"/>
    </row>
    <row r="121" spans="1:20" s="60" customFormat="1" ht="15.75">
      <c r="A121" s="65"/>
      <c r="B121" s="315" t="s">
        <v>96</v>
      </c>
      <c r="C121" s="306"/>
      <c r="D121" s="306"/>
      <c r="E121" s="179"/>
      <c r="F121" s="266"/>
      <c r="G121" s="309"/>
      <c r="H121" s="178"/>
      <c r="I121" s="175"/>
      <c r="J121" s="177"/>
      <c r="K121" s="265"/>
      <c r="L121" s="270"/>
      <c r="M121" s="265"/>
      <c r="N121" s="266"/>
      <c r="O121" s="294"/>
      <c r="P121" s="236"/>
      <c r="Q121" s="86"/>
      <c r="R121" s="227"/>
      <c r="S121" s="295"/>
      <c r="T121" s="190"/>
    </row>
    <row r="122" spans="1:20" s="249" customFormat="1" ht="15.75">
      <c r="A122" s="245" t="s">
        <v>131</v>
      </c>
      <c r="B122" s="334" t="s">
        <v>227</v>
      </c>
      <c r="C122" s="197" t="s">
        <v>41</v>
      </c>
      <c r="D122" s="285" t="s">
        <v>161</v>
      </c>
      <c r="E122" s="321">
        <f t="shared" ref="E122:E152" si="55">G122/F122</f>
        <v>381.90840685002593</v>
      </c>
      <c r="F122" s="325">
        <f>SUM(F123:F124)</f>
        <v>7.7080000000000002</v>
      </c>
      <c r="G122" s="326">
        <f>SUM(G123:G126)</f>
        <v>2943.75</v>
      </c>
      <c r="H122" s="330"/>
      <c r="I122" s="176"/>
      <c r="J122" s="246"/>
      <c r="K122" s="329"/>
      <c r="L122" s="326"/>
      <c r="M122" s="329"/>
      <c r="N122" s="328"/>
      <c r="O122" s="294"/>
      <c r="P122" s="234">
        <f t="shared" si="52"/>
        <v>0</v>
      </c>
      <c r="Q122" s="87">
        <f t="shared" si="53"/>
        <v>0</v>
      </c>
      <c r="R122" s="226">
        <f t="shared" si="54"/>
        <v>-1</v>
      </c>
      <c r="S122" s="324"/>
      <c r="T122" s="190"/>
    </row>
    <row r="123" spans="1:20" s="60" customFormat="1" ht="15.75">
      <c r="A123" s="65"/>
      <c r="B123" s="302" t="s">
        <v>156</v>
      </c>
      <c r="C123" s="208" t="s">
        <v>41</v>
      </c>
      <c r="D123" s="217" t="s">
        <v>161</v>
      </c>
      <c r="E123" s="179">
        <f t="shared" si="55"/>
        <v>418.29865361077111</v>
      </c>
      <c r="F123" s="263">
        <v>4.085</v>
      </c>
      <c r="G123" s="270">
        <v>1708.75</v>
      </c>
      <c r="H123" s="178"/>
      <c r="I123" s="175"/>
      <c r="J123" s="177"/>
      <c r="K123" s="265"/>
      <c r="L123" s="270"/>
      <c r="M123" s="265"/>
      <c r="N123" s="266"/>
      <c r="O123" s="294"/>
      <c r="P123" s="236">
        <f t="shared" si="52"/>
        <v>0</v>
      </c>
      <c r="Q123" s="86">
        <f t="shared" si="53"/>
        <v>0</v>
      </c>
      <c r="R123" s="227">
        <f t="shared" si="54"/>
        <v>-1</v>
      </c>
      <c r="S123" s="295"/>
      <c r="T123" s="190"/>
    </row>
    <row r="124" spans="1:20" s="60" customFormat="1" ht="15.75">
      <c r="A124" s="65"/>
      <c r="B124" s="302" t="s">
        <v>157</v>
      </c>
      <c r="C124" s="208" t="s">
        <v>41</v>
      </c>
      <c r="D124" s="217" t="s">
        <v>161</v>
      </c>
      <c r="E124" s="179">
        <f t="shared" si="55"/>
        <v>256.69334805409881</v>
      </c>
      <c r="F124" s="263">
        <v>3.6230000000000002</v>
      </c>
      <c r="G124" s="270">
        <v>930</v>
      </c>
      <c r="H124" s="178"/>
      <c r="I124" s="175"/>
      <c r="J124" s="177"/>
      <c r="K124" s="265"/>
      <c r="L124" s="270"/>
      <c r="M124" s="265"/>
      <c r="N124" s="266"/>
      <c r="O124" s="294"/>
      <c r="P124" s="236">
        <f t="shared" si="52"/>
        <v>0</v>
      </c>
      <c r="Q124" s="86">
        <f t="shared" si="53"/>
        <v>0</v>
      </c>
      <c r="R124" s="227">
        <f t="shared" si="54"/>
        <v>-1</v>
      </c>
      <c r="S124" s="295"/>
      <c r="T124" s="190"/>
    </row>
    <row r="125" spans="1:20" s="60" customFormat="1" ht="15.75">
      <c r="A125" s="65"/>
      <c r="B125" s="302" t="s">
        <v>182</v>
      </c>
      <c r="C125" s="208" t="s">
        <v>42</v>
      </c>
      <c r="D125" s="217" t="s">
        <v>161</v>
      </c>
      <c r="E125" s="179">
        <f t="shared" si="55"/>
        <v>65</v>
      </c>
      <c r="F125" s="265">
        <v>4</v>
      </c>
      <c r="G125" s="270">
        <v>260</v>
      </c>
      <c r="H125" s="178"/>
      <c r="I125" s="175"/>
      <c r="J125" s="177"/>
      <c r="K125" s="265"/>
      <c r="L125" s="270"/>
      <c r="M125" s="265"/>
      <c r="N125" s="266"/>
      <c r="O125" s="294"/>
      <c r="P125" s="89">
        <f t="shared" si="52"/>
        <v>0</v>
      </c>
      <c r="Q125" s="86">
        <f t="shared" si="53"/>
        <v>0</v>
      </c>
      <c r="R125" s="227">
        <f t="shared" si="54"/>
        <v>-1</v>
      </c>
      <c r="S125" s="295"/>
      <c r="T125" s="190"/>
    </row>
    <row r="126" spans="1:20" s="60" customFormat="1" ht="31.5">
      <c r="A126" s="65"/>
      <c r="B126" s="302" t="s">
        <v>228</v>
      </c>
      <c r="C126" s="208" t="s">
        <v>42</v>
      </c>
      <c r="D126" s="217" t="s">
        <v>161</v>
      </c>
      <c r="E126" s="179">
        <f t="shared" si="55"/>
        <v>45</v>
      </c>
      <c r="F126" s="265">
        <v>1</v>
      </c>
      <c r="G126" s="270">
        <v>45</v>
      </c>
      <c r="H126" s="178"/>
      <c r="I126" s="175"/>
      <c r="J126" s="177"/>
      <c r="K126" s="265"/>
      <c r="L126" s="270"/>
      <c r="M126" s="265"/>
      <c r="N126" s="266"/>
      <c r="O126" s="294"/>
      <c r="P126" s="89">
        <f t="shared" si="52"/>
        <v>0</v>
      </c>
      <c r="Q126" s="86">
        <f t="shared" si="53"/>
        <v>0</v>
      </c>
      <c r="R126" s="227">
        <f t="shared" si="54"/>
        <v>-1</v>
      </c>
      <c r="S126" s="295"/>
      <c r="T126" s="190"/>
    </row>
    <row r="127" spans="1:20" s="249" customFormat="1" ht="15.75">
      <c r="A127" s="245" t="s">
        <v>246</v>
      </c>
      <c r="B127" s="351" t="s">
        <v>229</v>
      </c>
      <c r="C127" s="197" t="s">
        <v>41</v>
      </c>
      <c r="D127" s="285" t="s">
        <v>77</v>
      </c>
      <c r="E127" s="321">
        <f t="shared" si="55"/>
        <v>742.70020839535573</v>
      </c>
      <c r="F127" s="325">
        <f>F128</f>
        <v>3.359</v>
      </c>
      <c r="G127" s="328">
        <f>G128</f>
        <v>2494.73</v>
      </c>
      <c r="H127" s="325">
        <f>H128</f>
        <v>3.359</v>
      </c>
      <c r="I127" s="328">
        <f>I128</f>
        <v>2494.73</v>
      </c>
      <c r="J127" s="321">
        <f t="shared" ref="J127:J128" si="56">L127/K127</f>
        <v>744.41700000000003</v>
      </c>
      <c r="K127" s="325">
        <f>K128</f>
        <v>2</v>
      </c>
      <c r="L127" s="328">
        <f>L128</f>
        <v>1488.8340000000001</v>
      </c>
      <c r="M127" s="325">
        <f>M128</f>
        <v>2</v>
      </c>
      <c r="N127" s="328">
        <f>N128</f>
        <v>1488.8340000000001</v>
      </c>
      <c r="O127" s="294"/>
      <c r="P127" s="234">
        <f t="shared" si="52"/>
        <v>1.359</v>
      </c>
      <c r="Q127" s="87">
        <f t="shared" si="53"/>
        <v>1005.896</v>
      </c>
      <c r="R127" s="226">
        <f t="shared" si="54"/>
        <v>2.3115539557387785E-3</v>
      </c>
      <c r="S127" s="324"/>
      <c r="T127" s="190"/>
    </row>
    <row r="128" spans="1:20" s="60" customFormat="1" ht="15.75">
      <c r="A128" s="65"/>
      <c r="B128" s="302" t="s">
        <v>156</v>
      </c>
      <c r="C128" s="208" t="s">
        <v>41</v>
      </c>
      <c r="D128" s="217" t="s">
        <v>77</v>
      </c>
      <c r="E128" s="179">
        <f t="shared" si="55"/>
        <v>742.70020839535573</v>
      </c>
      <c r="F128" s="263">
        <v>3.359</v>
      </c>
      <c r="G128" s="266">
        <v>2494.73</v>
      </c>
      <c r="H128" s="166">
        <f t="shared" ref="H128" si="57">F128</f>
        <v>3.359</v>
      </c>
      <c r="I128" s="175">
        <f t="shared" ref="I128" si="58">G128</f>
        <v>2494.73</v>
      </c>
      <c r="J128" s="179">
        <f t="shared" si="56"/>
        <v>744.41700000000003</v>
      </c>
      <c r="K128" s="263">
        <v>2</v>
      </c>
      <c r="L128" s="266">
        <v>1488.8340000000001</v>
      </c>
      <c r="M128" s="263">
        <v>2</v>
      </c>
      <c r="N128" s="266">
        <v>1488.8340000000001</v>
      </c>
      <c r="O128" s="294"/>
      <c r="P128" s="236">
        <f t="shared" si="52"/>
        <v>1.359</v>
      </c>
      <c r="Q128" s="86">
        <f t="shared" si="53"/>
        <v>1005.896</v>
      </c>
      <c r="R128" s="227">
        <f t="shared" si="54"/>
        <v>2.3115539557387785E-3</v>
      </c>
      <c r="S128" s="295"/>
      <c r="T128" s="190"/>
    </row>
    <row r="129" spans="1:20" s="249" customFormat="1" ht="15.75">
      <c r="A129" s="245" t="s">
        <v>247</v>
      </c>
      <c r="B129" s="351" t="s">
        <v>230</v>
      </c>
      <c r="C129" s="197" t="s">
        <v>41</v>
      </c>
      <c r="D129" s="285" t="s">
        <v>161</v>
      </c>
      <c r="E129" s="321">
        <f t="shared" si="55"/>
        <v>745.98102466793182</v>
      </c>
      <c r="F129" s="325">
        <f>SUM(F130:F131)</f>
        <v>2.6349999999999998</v>
      </c>
      <c r="G129" s="326">
        <f>SUM(G130:G133)</f>
        <v>1965.66</v>
      </c>
      <c r="H129" s="247"/>
      <c r="I129" s="176"/>
      <c r="J129" s="246"/>
      <c r="K129" s="329"/>
      <c r="L129" s="326"/>
      <c r="M129" s="329"/>
      <c r="N129" s="328"/>
      <c r="O129" s="294"/>
      <c r="P129" s="234">
        <f t="shared" si="52"/>
        <v>0</v>
      </c>
      <c r="Q129" s="87">
        <f t="shared" si="53"/>
        <v>0</v>
      </c>
      <c r="R129" s="226">
        <f t="shared" si="54"/>
        <v>-1</v>
      </c>
      <c r="S129" s="324"/>
      <c r="T129" s="190"/>
    </row>
    <row r="130" spans="1:20" s="60" customFormat="1" ht="15.75">
      <c r="A130" s="65"/>
      <c r="B130" s="302" t="s">
        <v>156</v>
      </c>
      <c r="C130" s="208" t="s">
        <v>41</v>
      </c>
      <c r="D130" s="217" t="s">
        <v>161</v>
      </c>
      <c r="E130" s="179">
        <f t="shared" si="55"/>
        <v>686.51659671880964</v>
      </c>
      <c r="F130" s="263">
        <v>2.621</v>
      </c>
      <c r="G130" s="270">
        <v>1799.3600000000001</v>
      </c>
      <c r="H130" s="178"/>
      <c r="I130" s="175"/>
      <c r="J130" s="177"/>
      <c r="K130" s="265"/>
      <c r="L130" s="270"/>
      <c r="M130" s="265"/>
      <c r="N130" s="266"/>
      <c r="O130" s="294"/>
      <c r="P130" s="236">
        <f t="shared" si="52"/>
        <v>0</v>
      </c>
      <c r="Q130" s="86">
        <f t="shared" si="53"/>
        <v>0</v>
      </c>
      <c r="R130" s="227">
        <f t="shared" si="54"/>
        <v>-1</v>
      </c>
      <c r="S130" s="295"/>
      <c r="T130" s="190"/>
    </row>
    <row r="131" spans="1:20" s="60" customFormat="1" ht="15.75">
      <c r="A131" s="65"/>
      <c r="B131" s="302" t="s">
        <v>157</v>
      </c>
      <c r="C131" s="208" t="s">
        <v>41</v>
      </c>
      <c r="D131" s="217" t="s">
        <v>161</v>
      </c>
      <c r="E131" s="179">
        <f t="shared" si="55"/>
        <v>450</v>
      </c>
      <c r="F131" s="263">
        <v>1.4E-2</v>
      </c>
      <c r="G131" s="270">
        <v>6.3</v>
      </c>
      <c r="H131" s="178"/>
      <c r="I131" s="175"/>
      <c r="J131" s="177"/>
      <c r="K131" s="265"/>
      <c r="L131" s="270"/>
      <c r="M131" s="265"/>
      <c r="N131" s="266"/>
      <c r="O131" s="294"/>
      <c r="P131" s="236">
        <f t="shared" si="52"/>
        <v>0</v>
      </c>
      <c r="Q131" s="86">
        <f t="shared" si="53"/>
        <v>0</v>
      </c>
      <c r="R131" s="227">
        <f t="shared" si="54"/>
        <v>-1</v>
      </c>
      <c r="S131" s="295"/>
      <c r="T131" s="190"/>
    </row>
    <row r="132" spans="1:20" s="60" customFormat="1" ht="31.5">
      <c r="A132" s="65"/>
      <c r="B132" s="302" t="s">
        <v>231</v>
      </c>
      <c r="C132" s="208" t="s">
        <v>42</v>
      </c>
      <c r="D132" s="217" t="s">
        <v>161</v>
      </c>
      <c r="E132" s="179">
        <f t="shared" si="55"/>
        <v>80</v>
      </c>
      <c r="F132" s="265">
        <v>1</v>
      </c>
      <c r="G132" s="270">
        <v>80</v>
      </c>
      <c r="H132" s="178"/>
      <c r="I132" s="175"/>
      <c r="J132" s="177"/>
      <c r="K132" s="265"/>
      <c r="L132" s="270"/>
      <c r="M132" s="265"/>
      <c r="N132" s="266"/>
      <c r="O132" s="294"/>
      <c r="P132" s="89">
        <f t="shared" si="52"/>
        <v>0</v>
      </c>
      <c r="Q132" s="86">
        <f t="shared" si="53"/>
        <v>0</v>
      </c>
      <c r="R132" s="227">
        <f t="shared" si="54"/>
        <v>-1</v>
      </c>
      <c r="S132" s="295"/>
      <c r="T132" s="190"/>
    </row>
    <row r="133" spans="1:20" s="60" customFormat="1" ht="31.5">
      <c r="A133" s="65"/>
      <c r="B133" s="302" t="s">
        <v>232</v>
      </c>
      <c r="C133" s="208" t="s">
        <v>42</v>
      </c>
      <c r="D133" s="217" t="s">
        <v>161</v>
      </c>
      <c r="E133" s="179">
        <f t="shared" si="55"/>
        <v>80</v>
      </c>
      <c r="F133" s="265">
        <v>1</v>
      </c>
      <c r="G133" s="270">
        <v>80</v>
      </c>
      <c r="H133" s="178"/>
      <c r="I133" s="175"/>
      <c r="J133" s="177"/>
      <c r="K133" s="265"/>
      <c r="L133" s="270"/>
      <c r="M133" s="265"/>
      <c r="N133" s="266"/>
      <c r="O133" s="294"/>
      <c r="P133" s="89">
        <f t="shared" si="52"/>
        <v>0</v>
      </c>
      <c r="Q133" s="86">
        <f t="shared" si="53"/>
        <v>0</v>
      </c>
      <c r="R133" s="227">
        <f t="shared" si="54"/>
        <v>-1</v>
      </c>
      <c r="S133" s="295"/>
      <c r="T133" s="190"/>
    </row>
    <row r="134" spans="1:20" s="249" customFormat="1" ht="15.75">
      <c r="A134" s="245" t="s">
        <v>248</v>
      </c>
      <c r="B134" s="351" t="s">
        <v>233</v>
      </c>
      <c r="C134" s="197" t="s">
        <v>41</v>
      </c>
      <c r="D134" s="285" t="s">
        <v>161</v>
      </c>
      <c r="E134" s="321">
        <f t="shared" si="55"/>
        <v>507.93006336540714</v>
      </c>
      <c r="F134" s="325">
        <f>SUM(F135:F136)</f>
        <v>4.2610000000000001</v>
      </c>
      <c r="G134" s="328">
        <f>SUM(G135:G138)</f>
        <v>2164.29</v>
      </c>
      <c r="H134" s="330"/>
      <c r="I134" s="176"/>
      <c r="J134" s="246"/>
      <c r="K134" s="329"/>
      <c r="L134" s="326"/>
      <c r="M134" s="329"/>
      <c r="N134" s="328"/>
      <c r="O134" s="294"/>
      <c r="P134" s="234">
        <f t="shared" si="52"/>
        <v>0</v>
      </c>
      <c r="Q134" s="87">
        <f t="shared" si="53"/>
        <v>0</v>
      </c>
      <c r="R134" s="226">
        <f t="shared" si="54"/>
        <v>-1</v>
      </c>
      <c r="S134" s="324"/>
      <c r="T134" s="190"/>
    </row>
    <row r="135" spans="1:20" s="60" customFormat="1" ht="15.75">
      <c r="A135" s="65"/>
      <c r="B135" s="302" t="s">
        <v>156</v>
      </c>
      <c r="C135" s="208" t="s">
        <v>41</v>
      </c>
      <c r="D135" s="217" t="s">
        <v>161</v>
      </c>
      <c r="E135" s="179">
        <f t="shared" si="55"/>
        <v>476.54034229828852</v>
      </c>
      <c r="F135" s="263">
        <v>3.2719999999999998</v>
      </c>
      <c r="G135" s="266">
        <v>1559.24</v>
      </c>
      <c r="H135" s="178"/>
      <c r="I135" s="175"/>
      <c r="J135" s="177"/>
      <c r="K135" s="265"/>
      <c r="L135" s="270"/>
      <c r="M135" s="265"/>
      <c r="N135" s="266"/>
      <c r="O135" s="294"/>
      <c r="P135" s="236">
        <f t="shared" si="52"/>
        <v>0</v>
      </c>
      <c r="Q135" s="86">
        <f t="shared" si="53"/>
        <v>0</v>
      </c>
      <c r="R135" s="227">
        <f t="shared" si="54"/>
        <v>-1</v>
      </c>
      <c r="S135" s="295"/>
      <c r="T135" s="190"/>
    </row>
    <row r="136" spans="1:20" s="60" customFormat="1" ht="15.75">
      <c r="A136" s="65"/>
      <c r="B136" s="302" t="s">
        <v>234</v>
      </c>
      <c r="C136" s="208" t="s">
        <v>41</v>
      </c>
      <c r="D136" s="217" t="s">
        <v>161</v>
      </c>
      <c r="E136" s="179">
        <f t="shared" si="55"/>
        <v>450</v>
      </c>
      <c r="F136" s="263">
        <v>0.98899999999999999</v>
      </c>
      <c r="G136" s="266">
        <v>445.05</v>
      </c>
      <c r="H136" s="178"/>
      <c r="I136" s="175"/>
      <c r="J136" s="177"/>
      <c r="K136" s="265"/>
      <c r="L136" s="270"/>
      <c r="M136" s="265"/>
      <c r="N136" s="266"/>
      <c r="O136" s="294"/>
      <c r="P136" s="236">
        <f t="shared" si="52"/>
        <v>0</v>
      </c>
      <c r="Q136" s="86">
        <f t="shared" si="53"/>
        <v>0</v>
      </c>
      <c r="R136" s="227">
        <f t="shared" si="54"/>
        <v>-1</v>
      </c>
      <c r="S136" s="295"/>
      <c r="T136" s="190"/>
    </row>
    <row r="137" spans="1:20" s="60" customFormat="1" ht="15.75">
      <c r="A137" s="65"/>
      <c r="B137" s="302" t="s">
        <v>182</v>
      </c>
      <c r="C137" s="208" t="s">
        <v>42</v>
      </c>
      <c r="D137" s="217" t="s">
        <v>161</v>
      </c>
      <c r="E137" s="179">
        <f t="shared" si="55"/>
        <v>80</v>
      </c>
      <c r="F137" s="265">
        <v>1</v>
      </c>
      <c r="G137" s="266">
        <v>80</v>
      </c>
      <c r="H137" s="178"/>
      <c r="I137" s="175"/>
      <c r="J137" s="177"/>
      <c r="K137" s="265"/>
      <c r="L137" s="270"/>
      <c r="M137" s="265"/>
      <c r="N137" s="266"/>
      <c r="O137" s="294"/>
      <c r="P137" s="89">
        <f t="shared" si="52"/>
        <v>0</v>
      </c>
      <c r="Q137" s="86">
        <f t="shared" si="53"/>
        <v>0</v>
      </c>
      <c r="R137" s="227">
        <f t="shared" si="54"/>
        <v>-1</v>
      </c>
      <c r="S137" s="295"/>
      <c r="T137" s="190"/>
    </row>
    <row r="138" spans="1:20" s="60" customFormat="1" ht="31.5">
      <c r="A138" s="65"/>
      <c r="B138" s="302" t="s">
        <v>235</v>
      </c>
      <c r="C138" s="208" t="s">
        <v>42</v>
      </c>
      <c r="D138" s="217" t="s">
        <v>161</v>
      </c>
      <c r="E138" s="179">
        <f t="shared" si="55"/>
        <v>80</v>
      </c>
      <c r="F138" s="301">
        <v>1</v>
      </c>
      <c r="G138" s="266">
        <v>80</v>
      </c>
      <c r="H138" s="178"/>
      <c r="I138" s="175"/>
      <c r="J138" s="177"/>
      <c r="K138" s="265"/>
      <c r="L138" s="270"/>
      <c r="M138" s="265"/>
      <c r="N138" s="266"/>
      <c r="O138" s="294"/>
      <c r="P138" s="89">
        <f t="shared" si="52"/>
        <v>0</v>
      </c>
      <c r="Q138" s="86">
        <f t="shared" si="53"/>
        <v>0</v>
      </c>
      <c r="R138" s="227">
        <f t="shared" si="54"/>
        <v>-1</v>
      </c>
      <c r="S138" s="295"/>
      <c r="T138" s="190"/>
    </row>
    <row r="139" spans="1:20" s="60" customFormat="1" ht="15.75">
      <c r="A139" s="65"/>
      <c r="B139" s="315" t="s">
        <v>236</v>
      </c>
      <c r="C139" s="306"/>
      <c r="D139" s="306"/>
      <c r="E139" s="179"/>
      <c r="F139" s="266"/>
      <c r="G139" s="309"/>
      <c r="H139" s="178"/>
      <c r="I139" s="175"/>
      <c r="J139" s="177"/>
      <c r="K139" s="265"/>
      <c r="L139" s="270"/>
      <c r="M139" s="265"/>
      <c r="N139" s="266"/>
      <c r="O139" s="294"/>
      <c r="P139" s="236"/>
      <c r="Q139" s="86"/>
      <c r="R139" s="227"/>
      <c r="S139" s="295"/>
      <c r="T139" s="190"/>
    </row>
    <row r="140" spans="1:20" s="249" customFormat="1" ht="15.75">
      <c r="A140" s="245" t="s">
        <v>249</v>
      </c>
      <c r="B140" s="320" t="s">
        <v>237</v>
      </c>
      <c r="C140" s="197" t="s">
        <v>41</v>
      </c>
      <c r="D140" s="285" t="s">
        <v>161</v>
      </c>
      <c r="E140" s="321">
        <f t="shared" si="55"/>
        <v>610.47457627118638</v>
      </c>
      <c r="F140" s="325">
        <f>SUM(F141:F142)</f>
        <v>1.1800000000000002</v>
      </c>
      <c r="G140" s="326">
        <f>SUM(G141:G143)</f>
        <v>720.36</v>
      </c>
      <c r="H140" s="330"/>
      <c r="I140" s="176"/>
      <c r="J140" s="246"/>
      <c r="K140" s="329"/>
      <c r="L140" s="326"/>
      <c r="M140" s="329"/>
      <c r="N140" s="328"/>
      <c r="O140" s="294"/>
      <c r="P140" s="234">
        <f t="shared" si="52"/>
        <v>0</v>
      </c>
      <c r="Q140" s="87">
        <f t="shared" si="53"/>
        <v>0</v>
      </c>
      <c r="R140" s="226">
        <f t="shared" si="54"/>
        <v>-1</v>
      </c>
      <c r="S140" s="324"/>
      <c r="T140" s="190"/>
    </row>
    <row r="141" spans="1:20" s="60" customFormat="1" ht="15.75">
      <c r="A141" s="65"/>
      <c r="B141" s="298" t="s">
        <v>156</v>
      </c>
      <c r="C141" s="208" t="s">
        <v>41</v>
      </c>
      <c r="D141" s="217" t="s">
        <v>161</v>
      </c>
      <c r="E141" s="179">
        <f t="shared" si="55"/>
        <v>656.33962264150944</v>
      </c>
      <c r="F141" s="263">
        <v>0.53</v>
      </c>
      <c r="G141" s="270">
        <v>347.86</v>
      </c>
      <c r="H141" s="178"/>
      <c r="I141" s="175"/>
      <c r="J141" s="177"/>
      <c r="K141" s="265"/>
      <c r="L141" s="270"/>
      <c r="M141" s="265"/>
      <c r="N141" s="266"/>
      <c r="O141" s="294"/>
      <c r="P141" s="236">
        <f t="shared" si="52"/>
        <v>0</v>
      </c>
      <c r="Q141" s="86">
        <f t="shared" si="53"/>
        <v>0</v>
      </c>
      <c r="R141" s="227">
        <f t="shared" si="54"/>
        <v>-1</v>
      </c>
      <c r="S141" s="295"/>
      <c r="T141" s="190"/>
    </row>
    <row r="142" spans="1:20" s="60" customFormat="1" ht="15.75">
      <c r="A142" s="65"/>
      <c r="B142" s="298" t="s">
        <v>234</v>
      </c>
      <c r="C142" s="208" t="s">
        <v>41</v>
      </c>
      <c r="D142" s="217" t="s">
        <v>161</v>
      </c>
      <c r="E142" s="179">
        <f t="shared" si="55"/>
        <v>450</v>
      </c>
      <c r="F142" s="263">
        <v>0.65</v>
      </c>
      <c r="G142" s="270">
        <v>292.5</v>
      </c>
      <c r="H142" s="178"/>
      <c r="I142" s="175"/>
      <c r="J142" s="177"/>
      <c r="K142" s="265"/>
      <c r="L142" s="270"/>
      <c r="M142" s="265"/>
      <c r="N142" s="266"/>
      <c r="O142" s="294"/>
      <c r="P142" s="236">
        <f t="shared" si="52"/>
        <v>0</v>
      </c>
      <c r="Q142" s="86">
        <f t="shared" si="53"/>
        <v>0</v>
      </c>
      <c r="R142" s="227">
        <f t="shared" si="54"/>
        <v>-1</v>
      </c>
      <c r="S142" s="295"/>
      <c r="T142" s="190"/>
    </row>
    <row r="143" spans="1:20" s="60" customFormat="1" ht="15.75">
      <c r="A143" s="65"/>
      <c r="B143" s="298" t="s">
        <v>238</v>
      </c>
      <c r="C143" s="208" t="s">
        <v>42</v>
      </c>
      <c r="D143" s="217" t="s">
        <v>161</v>
      </c>
      <c r="E143" s="179">
        <f t="shared" si="55"/>
        <v>80</v>
      </c>
      <c r="F143" s="265">
        <v>1</v>
      </c>
      <c r="G143" s="270">
        <v>80</v>
      </c>
      <c r="H143" s="178"/>
      <c r="I143" s="175"/>
      <c r="J143" s="177"/>
      <c r="K143" s="265"/>
      <c r="L143" s="270"/>
      <c r="M143" s="265"/>
      <c r="N143" s="266"/>
      <c r="O143" s="294"/>
      <c r="P143" s="89">
        <f t="shared" si="52"/>
        <v>0</v>
      </c>
      <c r="Q143" s="86">
        <f t="shared" si="53"/>
        <v>0</v>
      </c>
      <c r="R143" s="227">
        <f t="shared" si="54"/>
        <v>-1</v>
      </c>
      <c r="S143" s="295"/>
      <c r="T143" s="190"/>
    </row>
    <row r="144" spans="1:20" s="60" customFormat="1" ht="15.75">
      <c r="A144" s="65"/>
      <c r="B144" s="315" t="s">
        <v>97</v>
      </c>
      <c r="C144" s="306"/>
      <c r="D144" s="306"/>
      <c r="E144" s="179"/>
      <c r="F144" s="312"/>
      <c r="G144" s="313"/>
      <c r="H144" s="178"/>
      <c r="I144" s="175"/>
      <c r="J144" s="177"/>
      <c r="K144" s="265"/>
      <c r="L144" s="270"/>
      <c r="M144" s="265"/>
      <c r="N144" s="266"/>
      <c r="O144" s="294"/>
      <c r="P144" s="236"/>
      <c r="Q144" s="86"/>
      <c r="R144" s="227"/>
      <c r="S144" s="295"/>
      <c r="T144" s="190"/>
    </row>
    <row r="145" spans="1:20" s="249" customFormat="1" ht="15.75">
      <c r="A145" s="245" t="s">
        <v>250</v>
      </c>
      <c r="B145" s="320" t="s">
        <v>239</v>
      </c>
      <c r="C145" s="197" t="s">
        <v>41</v>
      </c>
      <c r="D145" s="285" t="s">
        <v>161</v>
      </c>
      <c r="E145" s="321">
        <f t="shared" si="55"/>
        <v>898.77844311377248</v>
      </c>
      <c r="F145" s="325">
        <f>F146</f>
        <v>1.67</v>
      </c>
      <c r="G145" s="326">
        <f>G146</f>
        <v>1500.96</v>
      </c>
      <c r="H145" s="330"/>
      <c r="I145" s="176"/>
      <c r="J145" s="246"/>
      <c r="K145" s="329"/>
      <c r="L145" s="326"/>
      <c r="M145" s="329"/>
      <c r="N145" s="328"/>
      <c r="O145" s="294"/>
      <c r="P145" s="234">
        <f t="shared" si="52"/>
        <v>0</v>
      </c>
      <c r="Q145" s="87">
        <f t="shared" si="53"/>
        <v>0</v>
      </c>
      <c r="R145" s="226">
        <f t="shared" si="54"/>
        <v>-1</v>
      </c>
      <c r="S145" s="324"/>
      <c r="T145" s="190"/>
    </row>
    <row r="146" spans="1:20" s="60" customFormat="1" ht="15.75">
      <c r="A146" s="65"/>
      <c r="B146" s="298" t="s">
        <v>156</v>
      </c>
      <c r="C146" s="208" t="s">
        <v>41</v>
      </c>
      <c r="D146" s="217" t="s">
        <v>161</v>
      </c>
      <c r="E146" s="179">
        <f t="shared" si="55"/>
        <v>898.77844311377248</v>
      </c>
      <c r="F146" s="263">
        <v>1.67</v>
      </c>
      <c r="G146" s="270">
        <v>1500.96</v>
      </c>
      <c r="H146" s="178"/>
      <c r="I146" s="175"/>
      <c r="J146" s="177"/>
      <c r="K146" s="265"/>
      <c r="L146" s="270"/>
      <c r="M146" s="265"/>
      <c r="N146" s="266"/>
      <c r="O146" s="294"/>
      <c r="P146" s="236">
        <f t="shared" si="52"/>
        <v>0</v>
      </c>
      <c r="Q146" s="86">
        <f t="shared" si="53"/>
        <v>0</v>
      </c>
      <c r="R146" s="227">
        <f t="shared" si="54"/>
        <v>-1</v>
      </c>
      <c r="S146" s="295"/>
      <c r="T146" s="190"/>
    </row>
    <row r="147" spans="1:20" s="249" customFormat="1" ht="15.75">
      <c r="A147" s="245" t="s">
        <v>251</v>
      </c>
      <c r="B147" s="334" t="s">
        <v>240</v>
      </c>
      <c r="C147" s="197" t="s">
        <v>41</v>
      </c>
      <c r="D147" s="285" t="s">
        <v>161</v>
      </c>
      <c r="E147" s="321">
        <f t="shared" si="55"/>
        <v>485.45098039215685</v>
      </c>
      <c r="F147" s="325">
        <f>F148</f>
        <v>3.57</v>
      </c>
      <c r="G147" s="349">
        <f>SUM(G148:G149)</f>
        <v>1733.06</v>
      </c>
      <c r="H147" s="330"/>
      <c r="I147" s="176"/>
      <c r="J147" s="246"/>
      <c r="K147" s="329"/>
      <c r="L147" s="326"/>
      <c r="M147" s="329"/>
      <c r="N147" s="328"/>
      <c r="O147" s="294"/>
      <c r="P147" s="234">
        <f t="shared" si="52"/>
        <v>0</v>
      </c>
      <c r="Q147" s="87">
        <f t="shared" si="53"/>
        <v>0</v>
      </c>
      <c r="R147" s="226">
        <f t="shared" si="54"/>
        <v>-1</v>
      </c>
      <c r="S147" s="324"/>
      <c r="T147" s="190"/>
    </row>
    <row r="148" spans="1:20" s="60" customFormat="1" ht="15.75">
      <c r="A148" s="65"/>
      <c r="B148" s="296" t="s">
        <v>156</v>
      </c>
      <c r="C148" s="208" t="s">
        <v>41</v>
      </c>
      <c r="D148" s="217" t="s">
        <v>161</v>
      </c>
      <c r="E148" s="179">
        <f>G148/F148</f>
        <v>463.0420168067227</v>
      </c>
      <c r="F148" s="280">
        <v>3.57</v>
      </c>
      <c r="G148" s="281">
        <v>1653.06</v>
      </c>
      <c r="H148" s="178"/>
      <c r="I148" s="175"/>
      <c r="J148" s="177"/>
      <c r="K148" s="265"/>
      <c r="L148" s="270"/>
      <c r="M148" s="265"/>
      <c r="N148" s="266"/>
      <c r="O148" s="294"/>
      <c r="P148" s="236">
        <f t="shared" si="52"/>
        <v>0</v>
      </c>
      <c r="Q148" s="86">
        <f t="shared" si="53"/>
        <v>0</v>
      </c>
      <c r="R148" s="227">
        <f t="shared" si="54"/>
        <v>-1</v>
      </c>
      <c r="S148" s="295"/>
      <c r="T148" s="190"/>
    </row>
    <row r="149" spans="1:20" s="60" customFormat="1" ht="15.75">
      <c r="A149" s="65"/>
      <c r="B149" s="296" t="s">
        <v>241</v>
      </c>
      <c r="C149" s="208" t="s">
        <v>42</v>
      </c>
      <c r="D149" s="217" t="s">
        <v>161</v>
      </c>
      <c r="E149" s="179">
        <f>G149/F149</f>
        <v>80</v>
      </c>
      <c r="F149" s="282">
        <v>1</v>
      </c>
      <c r="G149" s="281">
        <v>80</v>
      </c>
      <c r="H149" s="178"/>
      <c r="I149" s="175"/>
      <c r="J149" s="177"/>
      <c r="K149" s="265"/>
      <c r="L149" s="270"/>
      <c r="M149" s="265"/>
      <c r="N149" s="266"/>
      <c r="O149" s="294"/>
      <c r="P149" s="89">
        <f t="shared" si="52"/>
        <v>0</v>
      </c>
      <c r="Q149" s="86">
        <f t="shared" si="53"/>
        <v>0</v>
      </c>
      <c r="R149" s="227">
        <f t="shared" si="54"/>
        <v>-1</v>
      </c>
      <c r="S149" s="295"/>
      <c r="T149" s="190"/>
    </row>
    <row r="150" spans="1:20" s="249" customFormat="1" ht="15.75">
      <c r="A150" s="245" t="s">
        <v>252</v>
      </c>
      <c r="B150" s="334" t="s">
        <v>242</v>
      </c>
      <c r="C150" s="197" t="s">
        <v>41</v>
      </c>
      <c r="D150" s="285" t="s">
        <v>161</v>
      </c>
      <c r="E150" s="321">
        <f t="shared" si="55"/>
        <v>465.8602150537634</v>
      </c>
      <c r="F150" s="325">
        <f>F151</f>
        <v>1.86</v>
      </c>
      <c r="G150" s="349">
        <f>G151</f>
        <v>866.5</v>
      </c>
      <c r="H150" s="330"/>
      <c r="I150" s="176"/>
      <c r="J150" s="246"/>
      <c r="K150" s="329"/>
      <c r="L150" s="326"/>
      <c r="M150" s="329"/>
      <c r="N150" s="328"/>
      <c r="O150" s="294"/>
      <c r="P150" s="234">
        <f t="shared" si="52"/>
        <v>0</v>
      </c>
      <c r="Q150" s="87">
        <f t="shared" si="53"/>
        <v>0</v>
      </c>
      <c r="R150" s="226">
        <f t="shared" si="54"/>
        <v>-1</v>
      </c>
      <c r="S150" s="324"/>
      <c r="T150" s="190"/>
    </row>
    <row r="151" spans="1:20" s="60" customFormat="1" ht="15.75">
      <c r="A151" s="65"/>
      <c r="B151" s="296" t="s">
        <v>156</v>
      </c>
      <c r="C151" s="208" t="s">
        <v>41</v>
      </c>
      <c r="D151" s="217" t="s">
        <v>161</v>
      </c>
      <c r="E151" s="179">
        <f t="shared" si="55"/>
        <v>465.8602150537634</v>
      </c>
      <c r="F151" s="280">
        <v>1.86</v>
      </c>
      <c r="G151" s="281">
        <v>866.5</v>
      </c>
      <c r="H151" s="178"/>
      <c r="I151" s="175"/>
      <c r="J151" s="177"/>
      <c r="K151" s="265"/>
      <c r="L151" s="270"/>
      <c r="M151" s="265"/>
      <c r="N151" s="266"/>
      <c r="O151" s="294"/>
      <c r="P151" s="236">
        <f t="shared" si="52"/>
        <v>0</v>
      </c>
      <c r="Q151" s="86">
        <f t="shared" si="53"/>
        <v>0</v>
      </c>
      <c r="R151" s="227">
        <f t="shared" si="54"/>
        <v>-1</v>
      </c>
      <c r="S151" s="295"/>
      <c r="T151" s="190"/>
    </row>
    <row r="152" spans="1:20" s="249" customFormat="1" ht="15.75">
      <c r="A152" s="245" t="s">
        <v>253</v>
      </c>
      <c r="B152" s="352" t="s">
        <v>243</v>
      </c>
      <c r="C152" s="197" t="s">
        <v>41</v>
      </c>
      <c r="D152" s="285" t="s">
        <v>161</v>
      </c>
      <c r="E152" s="321">
        <f t="shared" si="55"/>
        <v>784.88342245989304</v>
      </c>
      <c r="F152" s="325">
        <f>SUM(F153:F154)</f>
        <v>4.6749999999999998</v>
      </c>
      <c r="G152" s="349">
        <f>SUM(G153:G156)</f>
        <v>3669.33</v>
      </c>
      <c r="H152" s="330"/>
      <c r="I152" s="176"/>
      <c r="J152" s="321">
        <f t="shared" ref="J152" si="59">L152/K152</f>
        <v>743.2085571428571</v>
      </c>
      <c r="K152" s="325">
        <f>SUM(K153:K154)</f>
        <v>2.1</v>
      </c>
      <c r="L152" s="349">
        <f>SUM(L153:L156)</f>
        <v>1560.7379699999999</v>
      </c>
      <c r="M152" s="325">
        <f>SUM(M153:M154)</f>
        <v>2.1</v>
      </c>
      <c r="N152" s="349">
        <f>SUM(N153:N156)</f>
        <v>1560.7379699999999</v>
      </c>
      <c r="O152" s="294"/>
      <c r="P152" s="234">
        <f t="shared" si="52"/>
        <v>-2.1</v>
      </c>
      <c r="Q152" s="87">
        <f t="shared" si="53"/>
        <v>-1560.7379699999999</v>
      </c>
      <c r="R152" s="226">
        <f t="shared" si="54"/>
        <v>-5.3096885632293367E-2</v>
      </c>
      <c r="S152" s="324"/>
      <c r="T152" s="190"/>
    </row>
    <row r="153" spans="1:20" s="60" customFormat="1" ht="15.75">
      <c r="A153" s="65"/>
      <c r="B153" s="296" t="s">
        <v>156</v>
      </c>
      <c r="C153" s="208" t="s">
        <v>41</v>
      </c>
      <c r="D153" s="217" t="s">
        <v>161</v>
      </c>
      <c r="E153" s="179">
        <f>G153/F153</f>
        <v>755.56086956521744</v>
      </c>
      <c r="F153" s="280">
        <v>4.5999999999999996</v>
      </c>
      <c r="G153" s="281">
        <v>3475.58</v>
      </c>
      <c r="H153" s="178"/>
      <c r="I153" s="175"/>
      <c r="J153" s="179">
        <f>L153/K153</f>
        <v>743.2085571428571</v>
      </c>
      <c r="K153" s="280">
        <v>2.1</v>
      </c>
      <c r="L153" s="281">
        <v>1560.7379699999999</v>
      </c>
      <c r="M153" s="280">
        <v>2.1</v>
      </c>
      <c r="N153" s="281">
        <v>1560.7379699999999</v>
      </c>
      <c r="O153" s="294"/>
      <c r="P153" s="236">
        <f t="shared" si="52"/>
        <v>-2.1</v>
      </c>
      <c r="Q153" s="86">
        <f t="shared" si="53"/>
        <v>-1560.7379699999999</v>
      </c>
      <c r="R153" s="227">
        <f t="shared" si="54"/>
        <v>-1.6348533811006385E-2</v>
      </c>
      <c r="S153" s="295"/>
      <c r="T153" s="190"/>
    </row>
    <row r="154" spans="1:20" s="60" customFormat="1" ht="15.75">
      <c r="A154" s="65"/>
      <c r="B154" s="296" t="s">
        <v>157</v>
      </c>
      <c r="C154" s="208" t="s">
        <v>41</v>
      </c>
      <c r="D154" s="217" t="s">
        <v>161</v>
      </c>
      <c r="E154" s="179">
        <f t="shared" ref="E154:E156" si="60">G154/F154</f>
        <v>450</v>
      </c>
      <c r="F154" s="280">
        <v>7.4999999999999997E-2</v>
      </c>
      <c r="G154" s="281">
        <v>33.75</v>
      </c>
      <c r="H154" s="178"/>
      <c r="I154" s="175"/>
      <c r="J154" s="177"/>
      <c r="K154" s="265"/>
      <c r="L154" s="270"/>
      <c r="M154" s="265"/>
      <c r="N154" s="266"/>
      <c r="O154" s="294"/>
      <c r="P154" s="236">
        <f t="shared" si="52"/>
        <v>0</v>
      </c>
      <c r="Q154" s="86">
        <f t="shared" si="53"/>
        <v>0</v>
      </c>
      <c r="R154" s="227">
        <f t="shared" si="54"/>
        <v>-1</v>
      </c>
      <c r="S154" s="295"/>
      <c r="T154" s="190"/>
    </row>
    <row r="155" spans="1:20" s="60" customFormat="1" ht="31.5">
      <c r="A155" s="65"/>
      <c r="B155" s="296" t="s">
        <v>244</v>
      </c>
      <c r="C155" s="208" t="s">
        <v>42</v>
      </c>
      <c r="D155" s="217" t="s">
        <v>161</v>
      </c>
      <c r="E155" s="179">
        <f t="shared" si="60"/>
        <v>80</v>
      </c>
      <c r="F155" s="282">
        <v>1</v>
      </c>
      <c r="G155" s="281">
        <v>80</v>
      </c>
      <c r="H155" s="178"/>
      <c r="I155" s="175"/>
      <c r="J155" s="177"/>
      <c r="K155" s="265"/>
      <c r="L155" s="270"/>
      <c r="M155" s="265"/>
      <c r="N155" s="266"/>
      <c r="O155" s="294"/>
      <c r="P155" s="89">
        <f t="shared" si="52"/>
        <v>0</v>
      </c>
      <c r="Q155" s="86">
        <f t="shared" si="53"/>
        <v>0</v>
      </c>
      <c r="R155" s="227">
        <f t="shared" si="54"/>
        <v>-1</v>
      </c>
      <c r="S155" s="295"/>
      <c r="T155" s="190"/>
    </row>
    <row r="156" spans="1:20" s="60" customFormat="1" ht="15.75">
      <c r="A156" s="65"/>
      <c r="B156" s="296" t="s">
        <v>245</v>
      </c>
      <c r="C156" s="208" t="s">
        <v>42</v>
      </c>
      <c r="D156" s="217" t="s">
        <v>161</v>
      </c>
      <c r="E156" s="179">
        <f t="shared" si="60"/>
        <v>80</v>
      </c>
      <c r="F156" s="282">
        <v>1</v>
      </c>
      <c r="G156" s="281">
        <v>80</v>
      </c>
      <c r="H156" s="178"/>
      <c r="I156" s="175"/>
      <c r="J156" s="177"/>
      <c r="K156" s="265"/>
      <c r="L156" s="270"/>
      <c r="M156" s="265"/>
      <c r="N156" s="266"/>
      <c r="O156" s="294"/>
      <c r="P156" s="89">
        <f t="shared" si="52"/>
        <v>0</v>
      </c>
      <c r="Q156" s="86">
        <f t="shared" si="53"/>
        <v>0</v>
      </c>
      <c r="R156" s="227">
        <f t="shared" si="54"/>
        <v>-1</v>
      </c>
      <c r="S156" s="295"/>
      <c r="T156" s="190"/>
    </row>
    <row r="157" spans="1:20" s="60" customFormat="1" ht="31.5">
      <c r="A157" s="197" t="s">
        <v>132</v>
      </c>
      <c r="B157" s="173" t="s">
        <v>73</v>
      </c>
      <c r="C157" s="174" t="s">
        <v>42</v>
      </c>
      <c r="D157" s="285" t="s">
        <v>161</v>
      </c>
      <c r="E157" s="198">
        <v>0.55000000000000004</v>
      </c>
      <c r="F157" s="199">
        <v>2500</v>
      </c>
      <c r="G157" s="200">
        <v>1375</v>
      </c>
      <c r="H157" s="285">
        <v>500</v>
      </c>
      <c r="I157" s="321">
        <f>H157*E157</f>
        <v>275</v>
      </c>
      <c r="J157" s="152">
        <f>L157/K157</f>
        <v>0.55000000000000004</v>
      </c>
      <c r="K157" s="201">
        <f>L157/E157</f>
        <v>151.08542727272726</v>
      </c>
      <c r="L157" s="321">
        <v>83.096985000000004</v>
      </c>
      <c r="M157" s="201"/>
      <c r="N157" s="152"/>
      <c r="O157" s="170"/>
      <c r="P157" s="233">
        <f>H157-K157</f>
        <v>348.91457272727274</v>
      </c>
      <c r="Q157" s="87">
        <f>I157-L157</f>
        <v>191.90301499999998</v>
      </c>
      <c r="R157" s="226">
        <f t="shared" si="2"/>
        <v>0</v>
      </c>
      <c r="S157" s="237"/>
      <c r="T157" s="171"/>
    </row>
    <row r="158" spans="1:20" s="60" customFormat="1" ht="31.5">
      <c r="A158" s="202" t="s">
        <v>133</v>
      </c>
      <c r="B158" s="173" t="s">
        <v>74</v>
      </c>
      <c r="C158" s="174" t="s">
        <v>42</v>
      </c>
      <c r="D158" s="285" t="s">
        <v>161</v>
      </c>
      <c r="E158" s="198">
        <v>0.84599999999999997</v>
      </c>
      <c r="F158" s="204">
        <v>1000</v>
      </c>
      <c r="G158" s="203">
        <v>846</v>
      </c>
      <c r="H158" s="285">
        <v>200</v>
      </c>
      <c r="I158" s="321">
        <f>H158*E158</f>
        <v>169.2</v>
      </c>
      <c r="J158" s="152">
        <f>L158/K158</f>
        <v>0.84599999999999997</v>
      </c>
      <c r="K158" s="201">
        <f>L158/E158</f>
        <v>232.42586879432625</v>
      </c>
      <c r="L158" s="321">
        <v>196.632285</v>
      </c>
      <c r="M158" s="201"/>
      <c r="N158" s="152"/>
      <c r="O158" s="170"/>
      <c r="P158" s="233">
        <f>H158-K158</f>
        <v>-32.425868794326249</v>
      </c>
      <c r="Q158" s="87">
        <f t="shared" si="4"/>
        <v>-27.432285000000007</v>
      </c>
      <c r="R158" s="226">
        <f t="shared" si="2"/>
        <v>0</v>
      </c>
      <c r="S158" s="237"/>
      <c r="T158" s="171"/>
    </row>
    <row r="159" spans="1:20" s="60" customFormat="1" ht="15.75">
      <c r="A159" s="202" t="s">
        <v>134</v>
      </c>
      <c r="B159" s="303" t="s">
        <v>255</v>
      </c>
      <c r="C159" s="174" t="s">
        <v>41</v>
      </c>
      <c r="D159" s="285" t="s">
        <v>161</v>
      </c>
      <c r="E159" s="203">
        <f>G159/F159</f>
        <v>27.744926989516038</v>
      </c>
      <c r="F159" s="206">
        <f>SUM(F161:F179)</f>
        <v>63.621000000000002</v>
      </c>
      <c r="G159" s="206">
        <f>SUM(G161:G179)</f>
        <v>1765.1599999999999</v>
      </c>
      <c r="H159" s="205"/>
      <c r="I159" s="206"/>
      <c r="J159" s="206"/>
      <c r="K159" s="205"/>
      <c r="L159" s="152"/>
      <c r="M159" s="205"/>
      <c r="N159" s="206"/>
      <c r="O159" s="170"/>
      <c r="P159" s="233">
        <f t="shared" ref="P159:P199" si="61">H159-K159</f>
        <v>0</v>
      </c>
      <c r="Q159" s="87">
        <f t="shared" si="4"/>
        <v>0</v>
      </c>
      <c r="R159" s="226">
        <f t="shared" si="2"/>
        <v>-1</v>
      </c>
      <c r="S159" s="225"/>
      <c r="T159" s="171"/>
    </row>
    <row r="160" spans="1:20" s="60" customFormat="1" ht="15.75">
      <c r="A160" s="169"/>
      <c r="B160" s="315" t="s">
        <v>107</v>
      </c>
      <c r="C160" s="208"/>
      <c r="D160" s="162"/>
      <c r="E160" s="179"/>
      <c r="F160" s="180"/>
      <c r="G160" s="179"/>
      <c r="H160" s="131"/>
      <c r="I160" s="90"/>
      <c r="J160" s="86"/>
      <c r="K160" s="131"/>
      <c r="L160" s="86"/>
      <c r="M160" s="131"/>
      <c r="N160" s="90"/>
      <c r="O160" s="130"/>
      <c r="P160" s="233"/>
      <c r="Q160" s="87"/>
      <c r="R160" s="226"/>
      <c r="S160" s="215"/>
      <c r="T160" s="188"/>
    </row>
    <row r="161" spans="1:20" s="60" customFormat="1" ht="31.5">
      <c r="A161" s="169" t="s">
        <v>99</v>
      </c>
      <c r="B161" s="305" t="s">
        <v>256</v>
      </c>
      <c r="C161" s="208" t="s">
        <v>41</v>
      </c>
      <c r="D161" s="217" t="s">
        <v>161</v>
      </c>
      <c r="E161" s="356">
        <f>G161/F161</f>
        <v>28.630000000000003</v>
      </c>
      <c r="F161" s="356">
        <v>5</v>
      </c>
      <c r="G161" s="356">
        <v>143.15</v>
      </c>
      <c r="H161" s="178"/>
      <c r="I161" s="175"/>
      <c r="J161" s="86"/>
      <c r="K161" s="265"/>
      <c r="L161" s="175"/>
      <c r="M161" s="265"/>
      <c r="N161" s="273"/>
      <c r="O161" s="130"/>
      <c r="P161" s="89">
        <f t="shared" si="61"/>
        <v>0</v>
      </c>
      <c r="Q161" s="86">
        <f t="shared" si="4"/>
        <v>0</v>
      </c>
      <c r="R161" s="227">
        <f t="shared" si="2"/>
        <v>-1</v>
      </c>
      <c r="S161" s="237"/>
      <c r="T161" s="188"/>
    </row>
    <row r="162" spans="1:20" s="60" customFormat="1" ht="15.75">
      <c r="A162" s="169"/>
      <c r="B162" s="315" t="s">
        <v>94</v>
      </c>
      <c r="C162" s="208"/>
      <c r="D162" s="162"/>
      <c r="E162" s="359"/>
      <c r="F162" s="357"/>
      <c r="G162" s="360"/>
      <c r="H162" s="178"/>
      <c r="I162" s="175"/>
      <c r="J162" s="86"/>
      <c r="K162" s="265"/>
      <c r="L162" s="175"/>
      <c r="M162" s="265"/>
      <c r="N162" s="273"/>
      <c r="O162" s="130"/>
      <c r="P162" s="89"/>
      <c r="Q162" s="86"/>
      <c r="R162" s="227"/>
      <c r="S162" s="293"/>
      <c r="T162" s="188"/>
    </row>
    <row r="163" spans="1:20" s="60" customFormat="1" ht="31.5">
      <c r="A163" s="169" t="s">
        <v>271</v>
      </c>
      <c r="B163" s="305" t="s">
        <v>257</v>
      </c>
      <c r="C163" s="208" t="s">
        <v>41</v>
      </c>
      <c r="D163" s="217" t="s">
        <v>161</v>
      </c>
      <c r="E163" s="356">
        <f t="shared" ref="E163:E171" si="62">G163/F163</f>
        <v>29.883333333333333</v>
      </c>
      <c r="F163" s="356">
        <v>3.6</v>
      </c>
      <c r="G163" s="356">
        <v>107.58</v>
      </c>
      <c r="H163" s="178"/>
      <c r="I163" s="175"/>
      <c r="J163" s="86"/>
      <c r="K163" s="265"/>
      <c r="L163" s="175"/>
      <c r="M163" s="265"/>
      <c r="N163" s="273"/>
      <c r="O163" s="130"/>
      <c r="P163" s="89">
        <f t="shared" ref="P163:P179" si="63">H163-K163</f>
        <v>0</v>
      </c>
      <c r="Q163" s="86">
        <f t="shared" ref="Q163:Q179" si="64">I163-L163</f>
        <v>0</v>
      </c>
      <c r="R163" s="227">
        <f t="shared" ref="R163:R179" si="65">(J163-E163)/E163</f>
        <v>-1</v>
      </c>
      <c r="S163" s="293"/>
      <c r="T163" s="188"/>
    </row>
    <row r="164" spans="1:20" s="60" customFormat="1" ht="31.5">
      <c r="A164" s="169" t="s">
        <v>272</v>
      </c>
      <c r="B164" s="305" t="s">
        <v>258</v>
      </c>
      <c r="C164" s="208" t="s">
        <v>41</v>
      </c>
      <c r="D164" s="217" t="s">
        <v>161</v>
      </c>
      <c r="E164" s="356">
        <f t="shared" si="62"/>
        <v>25.447811447811446</v>
      </c>
      <c r="F164" s="356">
        <v>2.97</v>
      </c>
      <c r="G164" s="356">
        <v>75.58</v>
      </c>
      <c r="H164" s="178"/>
      <c r="I164" s="175"/>
      <c r="J164" s="86"/>
      <c r="K164" s="265"/>
      <c r="L164" s="175"/>
      <c r="M164" s="265"/>
      <c r="N164" s="273"/>
      <c r="O164" s="130"/>
      <c r="P164" s="89">
        <f t="shared" si="63"/>
        <v>0</v>
      </c>
      <c r="Q164" s="86">
        <f t="shared" si="64"/>
        <v>0</v>
      </c>
      <c r="R164" s="227">
        <f t="shared" si="65"/>
        <v>-1</v>
      </c>
      <c r="S164" s="293"/>
      <c r="T164" s="188"/>
    </row>
    <row r="165" spans="1:20" s="60" customFormat="1" ht="31.5">
      <c r="A165" s="169" t="s">
        <v>273</v>
      </c>
      <c r="B165" s="305" t="s">
        <v>259</v>
      </c>
      <c r="C165" s="208" t="s">
        <v>41</v>
      </c>
      <c r="D165" s="217" t="s">
        <v>161</v>
      </c>
      <c r="E165" s="356">
        <f t="shared" si="62"/>
        <v>34.747826086956522</v>
      </c>
      <c r="F165" s="356">
        <v>2.2999999999999998</v>
      </c>
      <c r="G165" s="356">
        <v>79.92</v>
      </c>
      <c r="H165" s="178"/>
      <c r="I165" s="175"/>
      <c r="J165" s="86"/>
      <c r="K165" s="265"/>
      <c r="L165" s="175"/>
      <c r="M165" s="265"/>
      <c r="N165" s="273"/>
      <c r="O165" s="130"/>
      <c r="P165" s="89">
        <f t="shared" si="63"/>
        <v>0</v>
      </c>
      <c r="Q165" s="86">
        <f t="shared" si="64"/>
        <v>0</v>
      </c>
      <c r="R165" s="227">
        <f t="shared" si="65"/>
        <v>-1</v>
      </c>
      <c r="S165" s="293"/>
      <c r="T165" s="188"/>
    </row>
    <row r="166" spans="1:20" s="60" customFormat="1" ht="31.5">
      <c r="A166" s="169" t="s">
        <v>274</v>
      </c>
      <c r="B166" s="305" t="s">
        <v>260</v>
      </c>
      <c r="C166" s="208" t="s">
        <v>41</v>
      </c>
      <c r="D166" s="217" t="s">
        <v>161</v>
      </c>
      <c r="E166" s="356">
        <f t="shared" si="62"/>
        <v>24.924528301886795</v>
      </c>
      <c r="F166" s="356">
        <v>4.7699999999999996</v>
      </c>
      <c r="G166" s="356">
        <v>118.89</v>
      </c>
      <c r="H166" s="178"/>
      <c r="I166" s="175"/>
      <c r="J166" s="86"/>
      <c r="K166" s="265"/>
      <c r="L166" s="175"/>
      <c r="M166" s="265"/>
      <c r="N166" s="273"/>
      <c r="O166" s="130"/>
      <c r="P166" s="89">
        <f t="shared" si="63"/>
        <v>0</v>
      </c>
      <c r="Q166" s="86">
        <f t="shared" si="64"/>
        <v>0</v>
      </c>
      <c r="R166" s="227">
        <f t="shared" si="65"/>
        <v>-1</v>
      </c>
      <c r="S166" s="293"/>
      <c r="T166" s="188"/>
    </row>
    <row r="167" spans="1:20" s="60" customFormat="1" ht="31.5">
      <c r="A167" s="169" t="s">
        <v>275</v>
      </c>
      <c r="B167" s="305" t="s">
        <v>261</v>
      </c>
      <c r="C167" s="208" t="s">
        <v>41</v>
      </c>
      <c r="D167" s="217" t="s">
        <v>161</v>
      </c>
      <c r="E167" s="356">
        <f t="shared" si="62"/>
        <v>30.267567567567564</v>
      </c>
      <c r="F167" s="356">
        <v>3.7</v>
      </c>
      <c r="G167" s="356">
        <v>111.99</v>
      </c>
      <c r="H167" s="178"/>
      <c r="I167" s="175"/>
      <c r="J167" s="86"/>
      <c r="K167" s="265"/>
      <c r="L167" s="175"/>
      <c r="M167" s="265"/>
      <c r="N167" s="273"/>
      <c r="O167" s="130"/>
      <c r="P167" s="89">
        <f t="shared" si="63"/>
        <v>0</v>
      </c>
      <c r="Q167" s="86">
        <f t="shared" si="64"/>
        <v>0</v>
      </c>
      <c r="R167" s="227">
        <f t="shared" si="65"/>
        <v>-1</v>
      </c>
      <c r="S167" s="293"/>
      <c r="T167" s="188"/>
    </row>
    <row r="168" spans="1:20" s="60" customFormat="1" ht="31.5">
      <c r="A168" s="169" t="s">
        <v>276</v>
      </c>
      <c r="B168" s="305" t="s">
        <v>262</v>
      </c>
      <c r="C168" s="208" t="s">
        <v>41</v>
      </c>
      <c r="D168" s="217" t="s">
        <v>161</v>
      </c>
      <c r="E168" s="356">
        <f t="shared" si="62"/>
        <v>28.030364372469634</v>
      </c>
      <c r="F168" s="356">
        <v>4.9400000000000004</v>
      </c>
      <c r="G168" s="356">
        <v>138.47</v>
      </c>
      <c r="H168" s="178"/>
      <c r="I168" s="175"/>
      <c r="J168" s="86"/>
      <c r="K168" s="265"/>
      <c r="L168" s="175"/>
      <c r="M168" s="265"/>
      <c r="N168" s="273"/>
      <c r="O168" s="130"/>
      <c r="P168" s="89">
        <f t="shared" si="63"/>
        <v>0</v>
      </c>
      <c r="Q168" s="86">
        <f t="shared" si="64"/>
        <v>0</v>
      </c>
      <c r="R168" s="227">
        <f t="shared" si="65"/>
        <v>-1</v>
      </c>
      <c r="S168" s="293"/>
      <c r="T168" s="188"/>
    </row>
    <row r="169" spans="1:20" s="60" customFormat="1" ht="31.5">
      <c r="A169" s="169" t="s">
        <v>277</v>
      </c>
      <c r="B169" s="305" t="s">
        <v>263</v>
      </c>
      <c r="C169" s="208" t="s">
        <v>41</v>
      </c>
      <c r="D169" s="217" t="s">
        <v>161</v>
      </c>
      <c r="E169" s="356">
        <f t="shared" si="62"/>
        <v>31.370967741935484</v>
      </c>
      <c r="F169" s="356">
        <v>3.1</v>
      </c>
      <c r="G169" s="356">
        <v>97.25</v>
      </c>
      <c r="H169" s="178"/>
      <c r="I169" s="175"/>
      <c r="J169" s="86"/>
      <c r="K169" s="265"/>
      <c r="L169" s="175"/>
      <c r="M169" s="265"/>
      <c r="N169" s="273"/>
      <c r="O169" s="130"/>
      <c r="P169" s="89">
        <f t="shared" si="63"/>
        <v>0</v>
      </c>
      <c r="Q169" s="86">
        <f t="shared" si="64"/>
        <v>0</v>
      </c>
      <c r="R169" s="227">
        <f t="shared" si="65"/>
        <v>-1</v>
      </c>
      <c r="S169" s="293"/>
      <c r="T169" s="188"/>
    </row>
    <row r="170" spans="1:20" s="60" customFormat="1" ht="15.75">
      <c r="A170" s="169"/>
      <c r="B170" s="315" t="s">
        <v>222</v>
      </c>
      <c r="C170" s="208"/>
      <c r="D170" s="162"/>
      <c r="E170" s="359"/>
      <c r="F170" s="357"/>
      <c r="G170" s="360"/>
      <c r="H170" s="178"/>
      <c r="I170" s="175"/>
      <c r="J170" s="86"/>
      <c r="K170" s="265"/>
      <c r="L170" s="175"/>
      <c r="M170" s="265"/>
      <c r="N170" s="273"/>
      <c r="O170" s="130"/>
      <c r="P170" s="89"/>
      <c r="Q170" s="86"/>
      <c r="R170" s="227"/>
      <c r="S170" s="293"/>
      <c r="T170" s="188"/>
    </row>
    <row r="171" spans="1:20" s="60" customFormat="1" ht="31.5">
      <c r="A171" s="169" t="s">
        <v>278</v>
      </c>
      <c r="B171" s="305" t="s">
        <v>264</v>
      </c>
      <c r="C171" s="208" t="s">
        <v>41</v>
      </c>
      <c r="D171" s="217" t="s">
        <v>161</v>
      </c>
      <c r="E171" s="356">
        <f t="shared" si="62"/>
        <v>12.97777777777778</v>
      </c>
      <c r="F171" s="356">
        <v>8.1</v>
      </c>
      <c r="G171" s="356">
        <v>105.12</v>
      </c>
      <c r="H171" s="178"/>
      <c r="I171" s="175"/>
      <c r="J171" s="86"/>
      <c r="K171" s="265"/>
      <c r="L171" s="175"/>
      <c r="M171" s="265"/>
      <c r="N171" s="273"/>
      <c r="O171" s="130"/>
      <c r="P171" s="89">
        <f t="shared" si="63"/>
        <v>0</v>
      </c>
      <c r="Q171" s="86">
        <f t="shared" si="64"/>
        <v>0</v>
      </c>
      <c r="R171" s="227">
        <f t="shared" si="65"/>
        <v>-1</v>
      </c>
      <c r="S171" s="293"/>
      <c r="T171" s="188"/>
    </row>
    <row r="172" spans="1:20" s="60" customFormat="1" ht="15.75">
      <c r="A172" s="169"/>
      <c r="B172" s="315" t="s">
        <v>96</v>
      </c>
      <c r="C172" s="208"/>
      <c r="D172" s="162"/>
      <c r="E172" s="356"/>
      <c r="F172" s="357"/>
      <c r="G172" s="361"/>
      <c r="H172" s="178"/>
      <c r="I172" s="175"/>
      <c r="J172" s="86"/>
      <c r="K172" s="265"/>
      <c r="L172" s="175"/>
      <c r="M172" s="265"/>
      <c r="N172" s="273"/>
      <c r="O172" s="130"/>
      <c r="P172" s="89"/>
      <c r="Q172" s="86"/>
      <c r="R172" s="227"/>
      <c r="S172" s="293"/>
      <c r="T172" s="188"/>
    </row>
    <row r="173" spans="1:20" s="60" customFormat="1" ht="31.5">
      <c r="A173" s="169" t="s">
        <v>279</v>
      </c>
      <c r="B173" s="354" t="s">
        <v>265</v>
      </c>
      <c r="C173" s="208" t="s">
        <v>41</v>
      </c>
      <c r="D173" s="217" t="s">
        <v>161</v>
      </c>
      <c r="E173" s="356">
        <f t="shared" ref="E173:E179" si="66">G173/F173</f>
        <v>30.025948103792416</v>
      </c>
      <c r="F173" s="357">
        <v>5.01</v>
      </c>
      <c r="G173" s="358">
        <v>150.43</v>
      </c>
      <c r="H173" s="178"/>
      <c r="I173" s="175"/>
      <c r="J173" s="86"/>
      <c r="K173" s="265"/>
      <c r="L173" s="175"/>
      <c r="M173" s="265"/>
      <c r="N173" s="273"/>
      <c r="O173" s="130"/>
      <c r="P173" s="89">
        <f t="shared" si="63"/>
        <v>0</v>
      </c>
      <c r="Q173" s="86">
        <f t="shared" si="64"/>
        <v>0</v>
      </c>
      <c r="R173" s="227">
        <f t="shared" si="65"/>
        <v>-1</v>
      </c>
      <c r="S173" s="293"/>
      <c r="T173" s="188"/>
    </row>
    <row r="174" spans="1:20" s="60" customFormat="1" ht="31.5">
      <c r="A174" s="169" t="s">
        <v>280</v>
      </c>
      <c r="B174" s="354" t="s">
        <v>266</v>
      </c>
      <c r="C174" s="208" t="s">
        <v>41</v>
      </c>
      <c r="D174" s="217" t="s">
        <v>161</v>
      </c>
      <c r="E174" s="356">
        <f t="shared" si="66"/>
        <v>28.04225352112676</v>
      </c>
      <c r="F174" s="357">
        <v>3.55</v>
      </c>
      <c r="G174" s="358">
        <v>99.55</v>
      </c>
      <c r="H174" s="178"/>
      <c r="I174" s="175"/>
      <c r="J174" s="86"/>
      <c r="K174" s="265"/>
      <c r="L174" s="175"/>
      <c r="M174" s="265"/>
      <c r="N174" s="273"/>
      <c r="O174" s="130"/>
      <c r="P174" s="89">
        <f t="shared" si="63"/>
        <v>0</v>
      </c>
      <c r="Q174" s="86">
        <f t="shared" si="64"/>
        <v>0</v>
      </c>
      <c r="R174" s="227">
        <f t="shared" si="65"/>
        <v>-1</v>
      </c>
      <c r="S174" s="293"/>
      <c r="T174" s="188"/>
    </row>
    <row r="175" spans="1:20" s="60" customFormat="1" ht="31.5">
      <c r="A175" s="169" t="s">
        <v>281</v>
      </c>
      <c r="B175" s="354" t="s">
        <v>267</v>
      </c>
      <c r="C175" s="208" t="s">
        <v>41</v>
      </c>
      <c r="D175" s="217" t="s">
        <v>161</v>
      </c>
      <c r="E175" s="356">
        <f t="shared" si="66"/>
        <v>28.83230452674897</v>
      </c>
      <c r="F175" s="357">
        <v>3.8879999999999999</v>
      </c>
      <c r="G175" s="358">
        <v>112.1</v>
      </c>
      <c r="H175" s="178"/>
      <c r="I175" s="175"/>
      <c r="J175" s="86"/>
      <c r="K175" s="265"/>
      <c r="L175" s="175"/>
      <c r="M175" s="265"/>
      <c r="N175" s="273"/>
      <c r="O175" s="130"/>
      <c r="P175" s="89">
        <f t="shared" si="63"/>
        <v>0</v>
      </c>
      <c r="Q175" s="86">
        <f t="shared" si="64"/>
        <v>0</v>
      </c>
      <c r="R175" s="227">
        <f t="shared" si="65"/>
        <v>-1</v>
      </c>
      <c r="S175" s="293"/>
      <c r="T175" s="188"/>
    </row>
    <row r="176" spans="1:20" s="60" customFormat="1" ht="31.5">
      <c r="A176" s="169" t="s">
        <v>282</v>
      </c>
      <c r="B176" s="354" t="s">
        <v>268</v>
      </c>
      <c r="C176" s="208" t="s">
        <v>41</v>
      </c>
      <c r="D176" s="217" t="s">
        <v>161</v>
      </c>
      <c r="E176" s="356">
        <f t="shared" si="66"/>
        <v>27.050545094152625</v>
      </c>
      <c r="F176" s="357">
        <v>5.0449999999999999</v>
      </c>
      <c r="G176" s="358">
        <v>136.47</v>
      </c>
      <c r="H176" s="178"/>
      <c r="I176" s="175"/>
      <c r="J176" s="86"/>
      <c r="K176" s="265"/>
      <c r="L176" s="175"/>
      <c r="M176" s="265"/>
      <c r="N176" s="273"/>
      <c r="O176" s="130"/>
      <c r="P176" s="89">
        <f t="shared" si="63"/>
        <v>0</v>
      </c>
      <c r="Q176" s="86">
        <f t="shared" si="64"/>
        <v>0</v>
      </c>
      <c r="R176" s="227">
        <f t="shared" si="65"/>
        <v>-1</v>
      </c>
      <c r="S176" s="293"/>
      <c r="T176" s="188"/>
    </row>
    <row r="177" spans="1:20" s="60" customFormat="1" ht="31.5">
      <c r="A177" s="169" t="s">
        <v>283</v>
      </c>
      <c r="B177" s="354" t="s">
        <v>269</v>
      </c>
      <c r="C177" s="208" t="s">
        <v>41</v>
      </c>
      <c r="D177" s="217" t="s">
        <v>161</v>
      </c>
      <c r="E177" s="356">
        <f t="shared" si="66"/>
        <v>27.920614596670937</v>
      </c>
      <c r="F177" s="357">
        <v>3.9049999999999998</v>
      </c>
      <c r="G177" s="358">
        <v>109.03</v>
      </c>
      <c r="H177" s="178"/>
      <c r="I177" s="175"/>
      <c r="J177" s="86"/>
      <c r="K177" s="265"/>
      <c r="L177" s="175"/>
      <c r="M177" s="265"/>
      <c r="N177" s="273"/>
      <c r="O177" s="130"/>
      <c r="P177" s="89">
        <f t="shared" si="63"/>
        <v>0</v>
      </c>
      <c r="Q177" s="86">
        <f t="shared" si="64"/>
        <v>0</v>
      </c>
      <c r="R177" s="227">
        <f t="shared" si="65"/>
        <v>-1</v>
      </c>
      <c r="S177" s="293"/>
      <c r="T177" s="188"/>
    </row>
    <row r="178" spans="1:20" s="60" customFormat="1" ht="15.75">
      <c r="A178" s="169"/>
      <c r="B178" s="315" t="s">
        <v>97</v>
      </c>
      <c r="C178" s="208"/>
      <c r="D178" s="162"/>
      <c r="E178" s="356"/>
      <c r="F178" s="357"/>
      <c r="G178" s="358"/>
      <c r="H178" s="178"/>
      <c r="I178" s="175"/>
      <c r="J178" s="86"/>
      <c r="K178" s="265"/>
      <c r="L178" s="175"/>
      <c r="M178" s="265"/>
      <c r="N178" s="273"/>
      <c r="O178" s="130"/>
      <c r="P178" s="89"/>
      <c r="Q178" s="86"/>
      <c r="R178" s="227"/>
      <c r="S178" s="293"/>
      <c r="T178" s="188"/>
    </row>
    <row r="179" spans="1:20" s="60" customFormat="1" ht="31.5">
      <c r="A179" s="169" t="s">
        <v>284</v>
      </c>
      <c r="B179" s="355" t="s">
        <v>270</v>
      </c>
      <c r="C179" s="208" t="s">
        <v>41</v>
      </c>
      <c r="D179" s="217" t="s">
        <v>161</v>
      </c>
      <c r="E179" s="356">
        <f t="shared" si="66"/>
        <v>47.990916377237511</v>
      </c>
      <c r="F179" s="357">
        <v>3.7429999999999999</v>
      </c>
      <c r="G179" s="358">
        <v>179.63</v>
      </c>
      <c r="H179" s="178"/>
      <c r="I179" s="175"/>
      <c r="J179" s="86"/>
      <c r="K179" s="265"/>
      <c r="L179" s="175"/>
      <c r="M179" s="265"/>
      <c r="N179" s="273"/>
      <c r="O179" s="130"/>
      <c r="P179" s="89">
        <f t="shared" si="63"/>
        <v>0</v>
      </c>
      <c r="Q179" s="86">
        <f t="shared" si="64"/>
        <v>0</v>
      </c>
      <c r="R179" s="227">
        <f t="shared" si="65"/>
        <v>-1</v>
      </c>
      <c r="S179" s="293"/>
      <c r="T179" s="188"/>
    </row>
    <row r="180" spans="1:20" s="60" customFormat="1" ht="15.75">
      <c r="A180" s="202" t="s">
        <v>136</v>
      </c>
      <c r="B180" s="353" t="s">
        <v>135</v>
      </c>
      <c r="C180" s="172" t="s">
        <v>42</v>
      </c>
      <c r="D180" s="285" t="s">
        <v>161</v>
      </c>
      <c r="E180" s="209">
        <f>G180/F180</f>
        <v>2451.7733333333331</v>
      </c>
      <c r="F180" s="205">
        <f>SUM(F181:F183)</f>
        <v>3</v>
      </c>
      <c r="G180" s="206">
        <f>SUM(G181:G183)</f>
        <v>7355.32</v>
      </c>
      <c r="H180" s="216"/>
      <c r="I180" s="206"/>
      <c r="J180" s="152">
        <f>L180/K180</f>
        <v>3416.666666666667</v>
      </c>
      <c r="K180" s="205">
        <f>K183</f>
        <v>1</v>
      </c>
      <c r="L180" s="152">
        <f>L183</f>
        <v>3416.666666666667</v>
      </c>
      <c r="M180" s="216"/>
      <c r="N180" s="206"/>
      <c r="O180" s="170"/>
      <c r="P180" s="233">
        <f>H180-K180</f>
        <v>-1</v>
      </c>
      <c r="Q180" s="87">
        <f t="shared" si="4"/>
        <v>-3416.666666666667</v>
      </c>
      <c r="R180" s="226">
        <f t="shared" si="2"/>
        <v>0.39354915897608833</v>
      </c>
      <c r="S180" s="191"/>
      <c r="T180" s="62"/>
    </row>
    <row r="181" spans="1:20" s="60" customFormat="1" ht="47.25">
      <c r="A181" s="169" t="s">
        <v>98</v>
      </c>
      <c r="B181" s="305" t="s">
        <v>285</v>
      </c>
      <c r="C181" s="65" t="s">
        <v>42</v>
      </c>
      <c r="D181" s="217" t="s">
        <v>161</v>
      </c>
      <c r="E181" s="177">
        <f t="shared" ref="E181:E183" si="67">G181/F181</f>
        <v>276.83</v>
      </c>
      <c r="F181" s="181">
        <v>1</v>
      </c>
      <c r="G181" s="163">
        <v>276.83</v>
      </c>
      <c r="H181" s="131"/>
      <c r="I181" s="90"/>
      <c r="J181" s="86"/>
      <c r="K181" s="131"/>
      <c r="L181" s="86"/>
      <c r="M181" s="131"/>
      <c r="N181" s="90"/>
      <c r="O181" s="130"/>
      <c r="P181" s="89">
        <f t="shared" ref="P181" si="68">H181-K181</f>
        <v>0</v>
      </c>
      <c r="Q181" s="86">
        <f t="shared" ref="Q181" si="69">I181-L181</f>
        <v>0</v>
      </c>
      <c r="R181" s="227">
        <f t="shared" ref="R181" si="70">(J181-E181)/E181</f>
        <v>-1</v>
      </c>
      <c r="S181" s="237"/>
      <c r="T181" s="188"/>
    </row>
    <row r="182" spans="1:20" s="60" customFormat="1" ht="47.25">
      <c r="A182" s="169" t="s">
        <v>288</v>
      </c>
      <c r="B182" s="305" t="s">
        <v>286</v>
      </c>
      <c r="C182" s="65" t="s">
        <v>42</v>
      </c>
      <c r="D182" s="217" t="s">
        <v>161</v>
      </c>
      <c r="E182" s="177">
        <f t="shared" si="67"/>
        <v>232.34</v>
      </c>
      <c r="F182" s="181">
        <v>1</v>
      </c>
      <c r="G182" s="163">
        <v>232.34</v>
      </c>
      <c r="H182" s="166"/>
      <c r="I182" s="175"/>
      <c r="J182" s="177"/>
      <c r="K182" s="263"/>
      <c r="L182" s="175"/>
      <c r="M182" s="263"/>
      <c r="N182" s="273"/>
      <c r="O182" s="130"/>
      <c r="P182" s="89">
        <f t="shared" si="61"/>
        <v>0</v>
      </c>
      <c r="Q182" s="86">
        <f t="shared" si="4"/>
        <v>0</v>
      </c>
      <c r="R182" s="227">
        <f t="shared" si="2"/>
        <v>-1</v>
      </c>
      <c r="S182" s="237"/>
      <c r="T182" s="188"/>
    </row>
    <row r="183" spans="1:20" s="60" customFormat="1" ht="15.75">
      <c r="A183" s="169" t="s">
        <v>289</v>
      </c>
      <c r="B183" s="305" t="s">
        <v>287</v>
      </c>
      <c r="C183" s="65" t="s">
        <v>42</v>
      </c>
      <c r="D183" s="217" t="s">
        <v>161</v>
      </c>
      <c r="E183" s="177">
        <f t="shared" si="67"/>
        <v>6846.15</v>
      </c>
      <c r="F183" s="181">
        <v>1</v>
      </c>
      <c r="G183" s="163">
        <v>6846.15</v>
      </c>
      <c r="H183" s="178"/>
      <c r="I183" s="179"/>
      <c r="J183" s="177">
        <f>L183/K183</f>
        <v>3416.666666666667</v>
      </c>
      <c r="K183" s="265">
        <v>1</v>
      </c>
      <c r="L183" s="163">
        <f>4100/1.2</f>
        <v>3416.666666666667</v>
      </c>
      <c r="M183" s="263"/>
      <c r="N183" s="273"/>
      <c r="O183" s="279"/>
      <c r="P183" s="89">
        <f t="shared" ref="P183" si="71">H183-K183</f>
        <v>-1</v>
      </c>
      <c r="Q183" s="86">
        <f t="shared" ref="Q183" si="72">I183-L183</f>
        <v>-3416.666666666667</v>
      </c>
      <c r="R183" s="227">
        <f t="shared" ref="R183" si="73">(J183-E183)/E183</f>
        <v>-0.50093604921500889</v>
      </c>
      <c r="S183" s="237"/>
      <c r="T183" s="188"/>
    </row>
    <row r="184" spans="1:20" s="60" customFormat="1" ht="31.5">
      <c r="A184" s="202" t="s">
        <v>138</v>
      </c>
      <c r="B184" s="250" t="s">
        <v>290</v>
      </c>
      <c r="C184" s="253" t="s">
        <v>41</v>
      </c>
      <c r="D184" s="285" t="s">
        <v>161</v>
      </c>
      <c r="E184" s="209">
        <f>G184/F184</f>
        <v>558.75352112676057</v>
      </c>
      <c r="F184" s="231">
        <f>SUM(F185:F190)</f>
        <v>9.9400000000000013</v>
      </c>
      <c r="G184" s="211">
        <f>SUM(G185:G190)</f>
        <v>5554.0100000000011</v>
      </c>
      <c r="H184" s="235"/>
      <c r="I184" s="212"/>
      <c r="J184" s="212"/>
      <c r="K184" s="235"/>
      <c r="L184" s="212"/>
      <c r="M184" s="235"/>
      <c r="N184" s="277"/>
      <c r="O184" s="170"/>
      <c r="P184" s="234">
        <f t="shared" si="61"/>
        <v>0</v>
      </c>
      <c r="Q184" s="87">
        <f t="shared" si="4"/>
        <v>0</v>
      </c>
      <c r="R184" s="226">
        <f t="shared" si="2"/>
        <v>-1</v>
      </c>
      <c r="S184" s="225"/>
      <c r="T184" s="171"/>
    </row>
    <row r="185" spans="1:20" s="60" customFormat="1" ht="47.25">
      <c r="A185" s="169" t="s">
        <v>140</v>
      </c>
      <c r="B185" s="362" t="s">
        <v>291</v>
      </c>
      <c r="C185" s="208" t="s">
        <v>41</v>
      </c>
      <c r="D185" s="217" t="s">
        <v>161</v>
      </c>
      <c r="E185" s="177">
        <f t="shared" ref="E185:E190" si="74">G185/F185</f>
        <v>505.88499550763703</v>
      </c>
      <c r="F185" s="166">
        <v>3.339</v>
      </c>
      <c r="G185" s="163">
        <v>1689.15</v>
      </c>
      <c r="H185" s="235"/>
      <c r="I185" s="212"/>
      <c r="J185" s="212"/>
      <c r="K185" s="235"/>
      <c r="L185" s="212"/>
      <c r="M185" s="235"/>
      <c r="N185" s="277"/>
      <c r="O185" s="170"/>
      <c r="P185" s="236">
        <f t="shared" ref="P185:P190" si="75">H185-K185</f>
        <v>0</v>
      </c>
      <c r="Q185" s="86">
        <f t="shared" ref="Q185:Q190" si="76">I185-L185</f>
        <v>0</v>
      </c>
      <c r="R185" s="227">
        <f t="shared" ref="R185:R190" si="77">(J185-E185)/E185</f>
        <v>-1</v>
      </c>
      <c r="S185" s="225"/>
      <c r="T185" s="171"/>
    </row>
    <row r="186" spans="1:20" s="60" customFormat="1" ht="63">
      <c r="A186" s="169" t="s">
        <v>141</v>
      </c>
      <c r="B186" s="355" t="s">
        <v>292</v>
      </c>
      <c r="C186" s="208" t="s">
        <v>41</v>
      </c>
      <c r="D186" s="217" t="s">
        <v>161</v>
      </c>
      <c r="E186" s="177">
        <f t="shared" si="74"/>
        <v>1087.4019607843138</v>
      </c>
      <c r="F186" s="166">
        <v>1.02</v>
      </c>
      <c r="G186" s="163">
        <v>1109.1500000000001</v>
      </c>
      <c r="H186" s="235"/>
      <c r="I186" s="212"/>
      <c r="J186" s="212"/>
      <c r="K186" s="235"/>
      <c r="L186" s="212"/>
      <c r="M186" s="235"/>
      <c r="N186" s="277"/>
      <c r="O186" s="170"/>
      <c r="P186" s="236">
        <f t="shared" si="75"/>
        <v>0</v>
      </c>
      <c r="Q186" s="86">
        <f t="shared" si="76"/>
        <v>0</v>
      </c>
      <c r="R186" s="227">
        <f t="shared" si="77"/>
        <v>-1</v>
      </c>
      <c r="S186" s="225"/>
      <c r="T186" s="171"/>
    </row>
    <row r="187" spans="1:20" s="60" customFormat="1" ht="47.25">
      <c r="A187" s="169" t="s">
        <v>142</v>
      </c>
      <c r="B187" s="362" t="s">
        <v>293</v>
      </c>
      <c r="C187" s="208" t="s">
        <v>41</v>
      </c>
      <c r="D187" s="217" t="s">
        <v>161</v>
      </c>
      <c r="E187" s="177">
        <f t="shared" si="74"/>
        <v>359.88431151241537</v>
      </c>
      <c r="F187" s="166">
        <v>3.544</v>
      </c>
      <c r="G187" s="163">
        <v>1275.43</v>
      </c>
      <c r="H187" s="235"/>
      <c r="I187" s="212"/>
      <c r="J187" s="212"/>
      <c r="K187" s="235"/>
      <c r="L187" s="212"/>
      <c r="M187" s="235"/>
      <c r="N187" s="277"/>
      <c r="O187" s="170"/>
      <c r="P187" s="236">
        <f t="shared" si="75"/>
        <v>0</v>
      </c>
      <c r="Q187" s="86">
        <f t="shared" si="76"/>
        <v>0</v>
      </c>
      <c r="R187" s="227">
        <f t="shared" si="77"/>
        <v>-1</v>
      </c>
      <c r="S187" s="225"/>
      <c r="T187" s="171"/>
    </row>
    <row r="188" spans="1:20" s="60" customFormat="1" ht="63">
      <c r="A188" s="169" t="s">
        <v>297</v>
      </c>
      <c r="B188" s="362" t="s">
        <v>294</v>
      </c>
      <c r="C188" s="208" t="s">
        <v>41</v>
      </c>
      <c r="D188" s="217" t="s">
        <v>161</v>
      </c>
      <c r="E188" s="177">
        <f t="shared" si="74"/>
        <v>6256.2992125984247</v>
      </c>
      <c r="F188" s="166">
        <v>0.127</v>
      </c>
      <c r="G188" s="163">
        <v>794.55</v>
      </c>
      <c r="H188" s="235"/>
      <c r="I188" s="212"/>
      <c r="J188" s="212"/>
      <c r="K188" s="235"/>
      <c r="L188" s="212"/>
      <c r="M188" s="235"/>
      <c r="N188" s="277"/>
      <c r="O188" s="170"/>
      <c r="P188" s="236">
        <f t="shared" si="75"/>
        <v>0</v>
      </c>
      <c r="Q188" s="86">
        <f t="shared" si="76"/>
        <v>0</v>
      </c>
      <c r="R188" s="227">
        <f t="shared" si="77"/>
        <v>-1</v>
      </c>
      <c r="S188" s="225"/>
      <c r="T188" s="171"/>
    </row>
    <row r="189" spans="1:20" s="60" customFormat="1" ht="47.25">
      <c r="A189" s="169" t="s">
        <v>298</v>
      </c>
      <c r="B189" s="362" t="s">
        <v>295</v>
      </c>
      <c r="C189" s="208" t="s">
        <v>41</v>
      </c>
      <c r="D189" s="217" t="s">
        <v>161</v>
      </c>
      <c r="E189" s="177">
        <f t="shared" si="74"/>
        <v>424.13114754098365</v>
      </c>
      <c r="F189" s="166">
        <v>0.61</v>
      </c>
      <c r="G189" s="163">
        <v>258.72000000000003</v>
      </c>
      <c r="H189" s="235"/>
      <c r="I189" s="212"/>
      <c r="J189" s="212"/>
      <c r="K189" s="235"/>
      <c r="L189" s="212"/>
      <c r="M189" s="235"/>
      <c r="N189" s="277"/>
      <c r="O189" s="170"/>
      <c r="P189" s="236">
        <f t="shared" si="75"/>
        <v>0</v>
      </c>
      <c r="Q189" s="86">
        <f t="shared" si="76"/>
        <v>0</v>
      </c>
      <c r="R189" s="227">
        <f t="shared" si="77"/>
        <v>-1</v>
      </c>
      <c r="S189" s="225"/>
      <c r="T189" s="171"/>
    </row>
    <row r="190" spans="1:20" s="60" customFormat="1" ht="47.25">
      <c r="A190" s="169" t="s">
        <v>299</v>
      </c>
      <c r="B190" s="362" t="s">
        <v>296</v>
      </c>
      <c r="C190" s="208" t="s">
        <v>41</v>
      </c>
      <c r="D190" s="217" t="s">
        <v>161</v>
      </c>
      <c r="E190" s="177">
        <f t="shared" si="74"/>
        <v>328.46923076923076</v>
      </c>
      <c r="F190" s="166">
        <v>1.3</v>
      </c>
      <c r="G190" s="163">
        <v>427.01</v>
      </c>
      <c r="H190" s="235"/>
      <c r="I190" s="212"/>
      <c r="J190" s="212"/>
      <c r="K190" s="235"/>
      <c r="L190" s="212"/>
      <c r="M190" s="235"/>
      <c r="N190" s="277"/>
      <c r="O190" s="170"/>
      <c r="P190" s="236">
        <f t="shared" si="75"/>
        <v>0</v>
      </c>
      <c r="Q190" s="86">
        <f t="shared" si="76"/>
        <v>0</v>
      </c>
      <c r="R190" s="227">
        <f t="shared" si="77"/>
        <v>-1</v>
      </c>
      <c r="S190" s="225"/>
      <c r="T190" s="171"/>
    </row>
    <row r="191" spans="1:20" s="60" customFormat="1" ht="31.5">
      <c r="A191" s="197" t="s">
        <v>143</v>
      </c>
      <c r="B191" s="250" t="s">
        <v>78</v>
      </c>
      <c r="C191" s="253" t="s">
        <v>41</v>
      </c>
      <c r="D191" s="285" t="s">
        <v>161</v>
      </c>
      <c r="E191" s="209">
        <f>G191/F191</f>
        <v>1021.5204527913558</v>
      </c>
      <c r="F191" s="365">
        <f>SUM(F193:F198)</f>
        <v>3.887</v>
      </c>
      <c r="G191" s="207">
        <f>SUM(G193:G198)</f>
        <v>3970.6499999999996</v>
      </c>
      <c r="H191" s="210"/>
      <c r="I191" s="207"/>
      <c r="J191" s="152"/>
      <c r="K191" s="205"/>
      <c r="L191" s="207"/>
      <c r="M191" s="205"/>
      <c r="N191" s="207"/>
      <c r="O191" s="170"/>
      <c r="P191" s="234">
        <f t="shared" si="61"/>
        <v>0</v>
      </c>
      <c r="Q191" s="87">
        <f>I191-L191</f>
        <v>0</v>
      </c>
      <c r="R191" s="226">
        <f t="shared" si="2"/>
        <v>-1</v>
      </c>
      <c r="S191" s="237"/>
      <c r="T191" s="171"/>
    </row>
    <row r="192" spans="1:20" s="60" customFormat="1" ht="15.75">
      <c r="A192" s="197"/>
      <c r="B192" s="315" t="s">
        <v>97</v>
      </c>
      <c r="C192" s="197"/>
      <c r="D192" s="285"/>
      <c r="E192" s="209"/>
      <c r="F192" s="210"/>
      <c r="G192" s="207"/>
      <c r="H192" s="210"/>
      <c r="I192" s="207"/>
      <c r="J192" s="152"/>
      <c r="K192" s="205"/>
      <c r="L192" s="207"/>
      <c r="M192" s="205"/>
      <c r="N192" s="207"/>
      <c r="O192" s="170"/>
      <c r="P192" s="234"/>
      <c r="Q192" s="87"/>
      <c r="R192" s="226"/>
      <c r="S192" s="293"/>
      <c r="T192" s="171"/>
    </row>
    <row r="193" spans="1:20" s="60" customFormat="1" ht="45">
      <c r="A193" s="169" t="s">
        <v>304</v>
      </c>
      <c r="B193" s="363" t="s">
        <v>300</v>
      </c>
      <c r="C193" s="208" t="s">
        <v>41</v>
      </c>
      <c r="D193" s="217" t="s">
        <v>161</v>
      </c>
      <c r="E193" s="179">
        <f>G193/F193</f>
        <v>810.83510638297867</v>
      </c>
      <c r="F193" s="166">
        <v>1.88</v>
      </c>
      <c r="G193" s="163">
        <v>1524.37</v>
      </c>
      <c r="H193" s="210"/>
      <c r="I193" s="207"/>
      <c r="J193" s="152"/>
      <c r="K193" s="205"/>
      <c r="L193" s="207"/>
      <c r="M193" s="205"/>
      <c r="N193" s="207"/>
      <c r="O193" s="170"/>
      <c r="P193" s="236">
        <f t="shared" ref="P193:P198" si="78">H193-K193</f>
        <v>0</v>
      </c>
      <c r="Q193" s="86">
        <f t="shared" ref="Q193:Q198" si="79">I193-L193</f>
        <v>0</v>
      </c>
      <c r="R193" s="227">
        <f t="shared" ref="R193:R198" si="80">(J193-E193)/E193</f>
        <v>-1</v>
      </c>
      <c r="S193" s="293"/>
      <c r="T193" s="171"/>
    </row>
    <row r="194" spans="1:20" s="60" customFormat="1" ht="60">
      <c r="A194" s="169" t="s">
        <v>305</v>
      </c>
      <c r="B194" s="363" t="s">
        <v>301</v>
      </c>
      <c r="C194" s="208" t="s">
        <v>41</v>
      </c>
      <c r="D194" s="217" t="s">
        <v>161</v>
      </c>
      <c r="E194" s="179">
        <f>G194/F194</f>
        <v>1142.7643400138215</v>
      </c>
      <c r="F194" s="166">
        <v>1.4470000000000001</v>
      </c>
      <c r="G194" s="364">
        <v>1653.58</v>
      </c>
      <c r="H194" s="210"/>
      <c r="I194" s="207"/>
      <c r="J194" s="152"/>
      <c r="K194" s="205"/>
      <c r="L194" s="207"/>
      <c r="M194" s="205"/>
      <c r="N194" s="207"/>
      <c r="O194" s="170"/>
      <c r="P194" s="236">
        <f t="shared" si="78"/>
        <v>0</v>
      </c>
      <c r="Q194" s="86">
        <f t="shared" si="79"/>
        <v>0</v>
      </c>
      <c r="R194" s="227">
        <f t="shared" si="80"/>
        <v>-1</v>
      </c>
      <c r="S194" s="293"/>
      <c r="T194" s="171"/>
    </row>
    <row r="195" spans="1:20" s="60" customFormat="1" ht="15.75">
      <c r="A195" s="197"/>
      <c r="B195" s="315" t="s">
        <v>94</v>
      </c>
      <c r="C195" s="197"/>
      <c r="D195" s="285"/>
      <c r="E195" s="179"/>
      <c r="F195" s="166"/>
      <c r="G195" s="163"/>
      <c r="H195" s="210"/>
      <c r="I195" s="207"/>
      <c r="J195" s="152"/>
      <c r="K195" s="205"/>
      <c r="L195" s="207"/>
      <c r="M195" s="205"/>
      <c r="N195" s="207"/>
      <c r="O195" s="170"/>
      <c r="P195" s="236"/>
      <c r="Q195" s="86"/>
      <c r="R195" s="227"/>
      <c r="S195" s="293"/>
      <c r="T195" s="171"/>
    </row>
    <row r="196" spans="1:20" s="60" customFormat="1" ht="31.5">
      <c r="A196" s="169" t="s">
        <v>306</v>
      </c>
      <c r="B196" s="305" t="s">
        <v>302</v>
      </c>
      <c r="C196" s="208" t="s">
        <v>41</v>
      </c>
      <c r="D196" s="217" t="s">
        <v>161</v>
      </c>
      <c r="E196" s="179">
        <f t="shared" ref="E196:E198" si="81">G196/F196</f>
        <v>1448.0285714285715</v>
      </c>
      <c r="F196" s="166">
        <v>0.35</v>
      </c>
      <c r="G196" s="163">
        <v>506.81</v>
      </c>
      <c r="H196" s="210"/>
      <c r="I196" s="207"/>
      <c r="J196" s="152"/>
      <c r="K196" s="205"/>
      <c r="L196" s="207"/>
      <c r="M196" s="205"/>
      <c r="N196" s="207"/>
      <c r="O196" s="170"/>
      <c r="P196" s="236">
        <f t="shared" si="78"/>
        <v>0</v>
      </c>
      <c r="Q196" s="86">
        <f t="shared" si="79"/>
        <v>0</v>
      </c>
      <c r="R196" s="227">
        <f t="shared" si="80"/>
        <v>-1</v>
      </c>
      <c r="S196" s="293"/>
      <c r="T196" s="171"/>
    </row>
    <row r="197" spans="1:20" s="60" customFormat="1" ht="15.75">
      <c r="A197" s="197"/>
      <c r="B197" s="315" t="s">
        <v>214</v>
      </c>
      <c r="C197" s="197"/>
      <c r="D197" s="285"/>
      <c r="E197" s="179"/>
      <c r="F197" s="166"/>
      <c r="G197" s="163"/>
      <c r="H197" s="210"/>
      <c r="I197" s="207"/>
      <c r="J197" s="152"/>
      <c r="K197" s="205"/>
      <c r="L197" s="207"/>
      <c r="M197" s="205"/>
      <c r="N197" s="207"/>
      <c r="O197" s="170"/>
      <c r="P197" s="236"/>
      <c r="Q197" s="86"/>
      <c r="R197" s="227"/>
      <c r="S197" s="293"/>
      <c r="T197" s="171"/>
    </row>
    <row r="198" spans="1:20" s="60" customFormat="1" ht="31.5">
      <c r="A198" s="169" t="s">
        <v>307</v>
      </c>
      <c r="B198" s="305" t="s">
        <v>303</v>
      </c>
      <c r="C198" s="208" t="s">
        <v>41</v>
      </c>
      <c r="D198" s="217" t="s">
        <v>161</v>
      </c>
      <c r="E198" s="179">
        <f t="shared" si="81"/>
        <v>1361.3809523809523</v>
      </c>
      <c r="F198" s="166">
        <v>0.21</v>
      </c>
      <c r="G198" s="163">
        <v>285.89</v>
      </c>
      <c r="H198" s="210"/>
      <c r="I198" s="207"/>
      <c r="J198" s="152"/>
      <c r="K198" s="205"/>
      <c r="L198" s="207"/>
      <c r="M198" s="205"/>
      <c r="N198" s="207"/>
      <c r="O198" s="170"/>
      <c r="P198" s="236">
        <f t="shared" si="78"/>
        <v>0</v>
      </c>
      <c r="Q198" s="86">
        <f t="shared" si="79"/>
        <v>0</v>
      </c>
      <c r="R198" s="227">
        <f t="shared" si="80"/>
        <v>-1</v>
      </c>
      <c r="S198" s="293"/>
      <c r="T198" s="171"/>
    </row>
    <row r="199" spans="1:20" s="60" customFormat="1" ht="15.75">
      <c r="A199" s="197" t="s">
        <v>144</v>
      </c>
      <c r="B199" s="250" t="s">
        <v>308</v>
      </c>
      <c r="C199" s="253" t="s">
        <v>41</v>
      </c>
      <c r="D199" s="285" t="s">
        <v>161</v>
      </c>
      <c r="E199" s="209">
        <f>G199/F199</f>
        <v>1207.622222222222</v>
      </c>
      <c r="F199" s="207">
        <f>SUM(F200:F201)</f>
        <v>0.45</v>
      </c>
      <c r="G199" s="207">
        <f>SUM(G200:G201)</f>
        <v>543.42999999999995</v>
      </c>
      <c r="H199" s="210"/>
      <c r="I199" s="207"/>
      <c r="J199" s="152"/>
      <c r="K199" s="205"/>
      <c r="L199" s="206"/>
      <c r="M199" s="205"/>
      <c r="N199" s="206"/>
      <c r="O199" s="214"/>
      <c r="P199" s="234">
        <f t="shared" si="61"/>
        <v>0</v>
      </c>
      <c r="Q199" s="87">
        <f t="shared" si="4"/>
        <v>0</v>
      </c>
      <c r="R199" s="226">
        <f t="shared" si="2"/>
        <v>-1</v>
      </c>
      <c r="S199" s="237"/>
      <c r="T199" s="171"/>
    </row>
    <row r="200" spans="1:20" s="60" customFormat="1" ht="15.75">
      <c r="A200" s="197"/>
      <c r="B200" s="315" t="s">
        <v>137</v>
      </c>
      <c r="C200" s="197"/>
      <c r="D200" s="209"/>
      <c r="E200" s="209"/>
      <c r="F200" s="210"/>
      <c r="G200" s="207"/>
      <c r="H200" s="210"/>
      <c r="I200" s="207"/>
      <c r="J200" s="152"/>
      <c r="K200" s="205"/>
      <c r="L200" s="206"/>
      <c r="M200" s="205"/>
      <c r="N200" s="206"/>
      <c r="O200" s="214"/>
      <c r="P200" s="233"/>
      <c r="Q200" s="87"/>
      <c r="R200" s="226"/>
      <c r="S200" s="293"/>
      <c r="T200" s="171"/>
    </row>
    <row r="201" spans="1:20" s="60" customFormat="1" ht="31.5">
      <c r="A201" s="169" t="s">
        <v>310</v>
      </c>
      <c r="B201" s="366" t="s">
        <v>309</v>
      </c>
      <c r="C201" s="208" t="s">
        <v>41</v>
      </c>
      <c r="D201" s="217" t="s">
        <v>161</v>
      </c>
      <c r="E201" s="177">
        <f>G201/F201</f>
        <v>1207.622222222222</v>
      </c>
      <c r="F201" s="166">
        <v>0.45</v>
      </c>
      <c r="G201" s="163">
        <v>543.42999999999995</v>
      </c>
      <c r="H201" s="210"/>
      <c r="I201" s="207"/>
      <c r="J201" s="152"/>
      <c r="K201" s="205"/>
      <c r="L201" s="206"/>
      <c r="M201" s="205"/>
      <c r="N201" s="206"/>
      <c r="O201" s="214"/>
      <c r="P201" s="236">
        <f t="shared" ref="P201" si="82">H201-K201</f>
        <v>0</v>
      </c>
      <c r="Q201" s="86">
        <f t="shared" ref="Q201" si="83">I201-L201</f>
        <v>0</v>
      </c>
      <c r="R201" s="227">
        <f t="shared" ref="R201" si="84">(J201-E201)/E201</f>
        <v>-1</v>
      </c>
      <c r="S201" s="293"/>
      <c r="T201" s="171"/>
    </row>
    <row r="202" spans="1:20" s="60" customFormat="1" ht="31.5">
      <c r="A202" s="197">
        <v>1.9</v>
      </c>
      <c r="B202" s="250" t="s">
        <v>139</v>
      </c>
      <c r="C202" s="253" t="s">
        <v>42</v>
      </c>
      <c r="D202" s="285" t="s">
        <v>161</v>
      </c>
      <c r="E202" s="209">
        <f>G202/F202</f>
        <v>638.6</v>
      </c>
      <c r="F202" s="367">
        <f>SUM(F203:F207)</f>
        <v>5</v>
      </c>
      <c r="G202" s="207">
        <f>SUM(G203:G207)</f>
        <v>3193</v>
      </c>
      <c r="H202" s="367">
        <f>SUM(H203:H207)</f>
        <v>1</v>
      </c>
      <c r="I202" s="207">
        <f>SUM(I203:I207)</f>
        <v>638.6</v>
      </c>
      <c r="J202" s="152"/>
      <c r="K202" s="205"/>
      <c r="L202" s="206"/>
      <c r="M202" s="205"/>
      <c r="N202" s="206"/>
      <c r="O202" s="214"/>
      <c r="P202" s="233">
        <f t="shared" ref="P202:P207" si="85">H202-K202</f>
        <v>1</v>
      </c>
      <c r="Q202" s="87">
        <f t="shared" ref="Q202:Q207" si="86">I202-L202</f>
        <v>638.6</v>
      </c>
      <c r="R202" s="226">
        <f t="shared" ref="R202:R207" si="87">(J202-E202)/E202</f>
        <v>-1</v>
      </c>
      <c r="S202" s="293"/>
      <c r="T202" s="171"/>
    </row>
    <row r="203" spans="1:20" s="60" customFormat="1" ht="15.75">
      <c r="A203" s="169" t="s">
        <v>311</v>
      </c>
      <c r="B203" s="362" t="s">
        <v>312</v>
      </c>
      <c r="C203" s="208" t="s">
        <v>42</v>
      </c>
      <c r="D203" s="217" t="s">
        <v>161</v>
      </c>
      <c r="E203" s="177">
        <f t="shared" ref="E203:E207" si="88">G203/F203</f>
        <v>638.6</v>
      </c>
      <c r="F203" s="181">
        <v>1</v>
      </c>
      <c r="G203" s="163">
        <v>638.6</v>
      </c>
      <c r="H203" s="178">
        <f>F203</f>
        <v>1</v>
      </c>
      <c r="I203" s="175">
        <f>G203</f>
        <v>638.6</v>
      </c>
      <c r="J203" s="152"/>
      <c r="K203" s="205"/>
      <c r="L203" s="206"/>
      <c r="M203" s="205"/>
      <c r="N203" s="206"/>
      <c r="O203" s="214"/>
      <c r="P203" s="89">
        <f t="shared" si="85"/>
        <v>1</v>
      </c>
      <c r="Q203" s="86">
        <f t="shared" si="86"/>
        <v>638.6</v>
      </c>
      <c r="R203" s="227">
        <f t="shared" si="87"/>
        <v>-1</v>
      </c>
      <c r="S203" s="293"/>
      <c r="T203" s="171"/>
    </row>
    <row r="204" spans="1:20" s="60" customFormat="1" ht="15.75">
      <c r="A204" s="169" t="s">
        <v>313</v>
      </c>
      <c r="B204" s="362" t="s">
        <v>314</v>
      </c>
      <c r="C204" s="208" t="s">
        <v>42</v>
      </c>
      <c r="D204" s="217" t="s">
        <v>161</v>
      </c>
      <c r="E204" s="177">
        <f t="shared" si="88"/>
        <v>638.6</v>
      </c>
      <c r="F204" s="181">
        <v>1</v>
      </c>
      <c r="G204" s="163">
        <v>638.6</v>
      </c>
      <c r="H204" s="210"/>
      <c r="I204" s="207"/>
      <c r="J204" s="152"/>
      <c r="K204" s="205"/>
      <c r="L204" s="206"/>
      <c r="M204" s="205"/>
      <c r="N204" s="206"/>
      <c r="O204" s="214"/>
      <c r="P204" s="89">
        <f t="shared" si="85"/>
        <v>0</v>
      </c>
      <c r="Q204" s="86">
        <f t="shared" si="86"/>
        <v>0</v>
      </c>
      <c r="R204" s="227">
        <f t="shared" si="87"/>
        <v>-1</v>
      </c>
      <c r="S204" s="293"/>
      <c r="T204" s="171"/>
    </row>
    <row r="205" spans="1:20" s="60" customFormat="1" ht="15.75">
      <c r="A205" s="169" t="s">
        <v>315</v>
      </c>
      <c r="B205" s="362" t="s">
        <v>316</v>
      </c>
      <c r="C205" s="208" t="s">
        <v>42</v>
      </c>
      <c r="D205" s="217" t="s">
        <v>161</v>
      </c>
      <c r="E205" s="177">
        <f t="shared" si="88"/>
        <v>638.6</v>
      </c>
      <c r="F205" s="181">
        <v>1</v>
      </c>
      <c r="G205" s="163">
        <v>638.6</v>
      </c>
      <c r="H205" s="210"/>
      <c r="I205" s="207"/>
      <c r="J205" s="152"/>
      <c r="K205" s="205"/>
      <c r="L205" s="206"/>
      <c r="M205" s="205"/>
      <c r="N205" s="206"/>
      <c r="O205" s="214"/>
      <c r="P205" s="89">
        <f t="shared" si="85"/>
        <v>0</v>
      </c>
      <c r="Q205" s="86">
        <f t="shared" si="86"/>
        <v>0</v>
      </c>
      <c r="R205" s="227">
        <f t="shared" si="87"/>
        <v>-1</v>
      </c>
      <c r="S205" s="293"/>
      <c r="T205" s="171"/>
    </row>
    <row r="206" spans="1:20" s="60" customFormat="1" ht="15.75">
      <c r="A206" s="169" t="s">
        <v>317</v>
      </c>
      <c r="B206" s="362" t="s">
        <v>318</v>
      </c>
      <c r="C206" s="208" t="s">
        <v>42</v>
      </c>
      <c r="D206" s="217" t="s">
        <v>161</v>
      </c>
      <c r="E206" s="177">
        <f t="shared" si="88"/>
        <v>638.6</v>
      </c>
      <c r="F206" s="181">
        <v>1</v>
      </c>
      <c r="G206" s="163">
        <v>638.6</v>
      </c>
      <c r="H206" s="210"/>
      <c r="I206" s="207"/>
      <c r="J206" s="152"/>
      <c r="K206" s="205"/>
      <c r="L206" s="206"/>
      <c r="M206" s="205"/>
      <c r="N206" s="206"/>
      <c r="O206" s="214"/>
      <c r="P206" s="89">
        <f t="shared" si="85"/>
        <v>0</v>
      </c>
      <c r="Q206" s="86">
        <f t="shared" si="86"/>
        <v>0</v>
      </c>
      <c r="R206" s="227">
        <f t="shared" si="87"/>
        <v>-1</v>
      </c>
      <c r="S206" s="293"/>
      <c r="T206" s="171"/>
    </row>
    <row r="207" spans="1:20" s="60" customFormat="1" ht="15.75">
      <c r="A207" s="169" t="s">
        <v>319</v>
      </c>
      <c r="B207" s="362" t="s">
        <v>320</v>
      </c>
      <c r="C207" s="208" t="s">
        <v>42</v>
      </c>
      <c r="D207" s="217" t="s">
        <v>161</v>
      </c>
      <c r="E207" s="177">
        <f t="shared" si="88"/>
        <v>638.6</v>
      </c>
      <c r="F207" s="181">
        <v>1</v>
      </c>
      <c r="G207" s="163">
        <v>638.6</v>
      </c>
      <c r="H207" s="210"/>
      <c r="I207" s="207"/>
      <c r="J207" s="152"/>
      <c r="K207" s="205"/>
      <c r="L207" s="206"/>
      <c r="M207" s="205"/>
      <c r="N207" s="206"/>
      <c r="O207" s="214"/>
      <c r="P207" s="89">
        <f t="shared" si="85"/>
        <v>0</v>
      </c>
      <c r="Q207" s="86">
        <f t="shared" si="86"/>
        <v>0</v>
      </c>
      <c r="R207" s="227">
        <f t="shared" si="87"/>
        <v>-1</v>
      </c>
      <c r="S207" s="293"/>
      <c r="T207" s="171"/>
    </row>
    <row r="208" spans="1:20" s="60" customFormat="1" ht="63">
      <c r="A208" s="209">
        <v>1.1000000000000001</v>
      </c>
      <c r="B208" s="250" t="s">
        <v>321</v>
      </c>
      <c r="C208" s="253" t="s">
        <v>42</v>
      </c>
      <c r="D208" s="285" t="s">
        <v>161</v>
      </c>
      <c r="E208" s="209">
        <f>G208/F208</f>
        <v>20.352857142857147</v>
      </c>
      <c r="F208" s="367">
        <f>SUM(F209:F217)</f>
        <v>28</v>
      </c>
      <c r="G208" s="207">
        <f>SUM(G209:G217)</f>
        <v>569.88000000000011</v>
      </c>
      <c r="H208" s="367">
        <f>SUM(H209:H217)</f>
        <v>4</v>
      </c>
      <c r="I208" s="207">
        <f>SUM(I209:I217)</f>
        <v>67.89</v>
      </c>
      <c r="J208" s="152"/>
      <c r="K208" s="205"/>
      <c r="L208" s="206"/>
      <c r="M208" s="205"/>
      <c r="N208" s="206"/>
      <c r="O208" s="214"/>
      <c r="P208" s="233">
        <f t="shared" ref="P208:P217" si="89">H208-K208</f>
        <v>4</v>
      </c>
      <c r="Q208" s="87">
        <f t="shared" ref="Q208:Q217" si="90">I208-L208</f>
        <v>67.89</v>
      </c>
      <c r="R208" s="226">
        <f t="shared" ref="R208:R217" si="91">(J208-E208)/E208</f>
        <v>-1</v>
      </c>
      <c r="S208" s="293"/>
      <c r="T208" s="171"/>
    </row>
    <row r="209" spans="1:20" s="60" customFormat="1" ht="47.25">
      <c r="A209" s="169" t="s">
        <v>322</v>
      </c>
      <c r="B209" s="362" t="s">
        <v>323</v>
      </c>
      <c r="C209" s="208" t="s">
        <v>42</v>
      </c>
      <c r="D209" s="217" t="s">
        <v>161</v>
      </c>
      <c r="E209" s="177">
        <f t="shared" ref="E209:E220" si="92">G209/F209</f>
        <v>16.9725</v>
      </c>
      <c r="F209" s="178">
        <v>4</v>
      </c>
      <c r="G209" s="163">
        <v>67.89</v>
      </c>
      <c r="H209" s="178">
        <f>F209</f>
        <v>4</v>
      </c>
      <c r="I209" s="175">
        <f>G209</f>
        <v>67.89</v>
      </c>
      <c r="J209" s="152"/>
      <c r="K209" s="205"/>
      <c r="L209" s="206"/>
      <c r="M209" s="205"/>
      <c r="N209" s="206"/>
      <c r="O209" s="214"/>
      <c r="P209" s="89">
        <f t="shared" si="89"/>
        <v>4</v>
      </c>
      <c r="Q209" s="86">
        <f t="shared" si="90"/>
        <v>67.89</v>
      </c>
      <c r="R209" s="227">
        <f t="shared" si="91"/>
        <v>-1</v>
      </c>
      <c r="S209" s="293"/>
      <c r="T209" s="171"/>
    </row>
    <row r="210" spans="1:20" s="60" customFormat="1" ht="47.25">
      <c r="A210" s="169" t="s">
        <v>324</v>
      </c>
      <c r="B210" s="362" t="s">
        <v>325</v>
      </c>
      <c r="C210" s="208" t="s">
        <v>42</v>
      </c>
      <c r="D210" s="217" t="s">
        <v>161</v>
      </c>
      <c r="E210" s="177">
        <f t="shared" si="92"/>
        <v>16.925000000000001</v>
      </c>
      <c r="F210" s="178">
        <v>4</v>
      </c>
      <c r="G210" s="163">
        <v>67.7</v>
      </c>
      <c r="H210" s="210"/>
      <c r="I210" s="207"/>
      <c r="J210" s="152"/>
      <c r="K210" s="205"/>
      <c r="L210" s="206"/>
      <c r="M210" s="205"/>
      <c r="N210" s="206"/>
      <c r="O210" s="214"/>
      <c r="P210" s="89">
        <f t="shared" si="89"/>
        <v>0</v>
      </c>
      <c r="Q210" s="86">
        <f t="shared" si="90"/>
        <v>0</v>
      </c>
      <c r="R210" s="227">
        <f t="shared" si="91"/>
        <v>-1</v>
      </c>
      <c r="S210" s="293"/>
      <c r="T210" s="171"/>
    </row>
    <row r="211" spans="1:20" s="60" customFormat="1" ht="47.25">
      <c r="A211" s="169" t="s">
        <v>326</v>
      </c>
      <c r="B211" s="362" t="s">
        <v>327</v>
      </c>
      <c r="C211" s="208" t="s">
        <v>42</v>
      </c>
      <c r="D211" s="217" t="s">
        <v>161</v>
      </c>
      <c r="E211" s="177">
        <f t="shared" si="92"/>
        <v>20.192499999999999</v>
      </c>
      <c r="F211" s="178">
        <v>4</v>
      </c>
      <c r="G211" s="163">
        <v>80.77</v>
      </c>
      <c r="H211" s="210"/>
      <c r="I211" s="207"/>
      <c r="J211" s="152"/>
      <c r="K211" s="205"/>
      <c r="L211" s="206"/>
      <c r="M211" s="205"/>
      <c r="N211" s="206"/>
      <c r="O211" s="214"/>
      <c r="P211" s="89">
        <f t="shared" si="89"/>
        <v>0</v>
      </c>
      <c r="Q211" s="86">
        <f t="shared" si="90"/>
        <v>0</v>
      </c>
      <c r="R211" s="227">
        <f t="shared" si="91"/>
        <v>-1</v>
      </c>
      <c r="S211" s="293"/>
      <c r="T211" s="171"/>
    </row>
    <row r="212" spans="1:20" s="60" customFormat="1" ht="47.25">
      <c r="A212" s="169" t="s">
        <v>328</v>
      </c>
      <c r="B212" s="362" t="s">
        <v>329</v>
      </c>
      <c r="C212" s="208" t="s">
        <v>42</v>
      </c>
      <c r="D212" s="217" t="s">
        <v>161</v>
      </c>
      <c r="E212" s="177">
        <f t="shared" si="92"/>
        <v>23.2575</v>
      </c>
      <c r="F212" s="178">
        <v>4</v>
      </c>
      <c r="G212" s="163">
        <v>93.03</v>
      </c>
      <c r="H212" s="210"/>
      <c r="I212" s="207"/>
      <c r="J212" s="152"/>
      <c r="K212" s="205"/>
      <c r="L212" s="206"/>
      <c r="M212" s="205"/>
      <c r="N212" s="206"/>
      <c r="O212" s="214"/>
      <c r="P212" s="89">
        <f t="shared" si="89"/>
        <v>0</v>
      </c>
      <c r="Q212" s="86">
        <f t="shared" si="90"/>
        <v>0</v>
      </c>
      <c r="R212" s="227">
        <f t="shared" si="91"/>
        <v>-1</v>
      </c>
      <c r="S212" s="293"/>
      <c r="T212" s="171"/>
    </row>
    <row r="213" spans="1:20" s="60" customFormat="1" ht="47.25">
      <c r="A213" s="169" t="s">
        <v>330</v>
      </c>
      <c r="B213" s="362" t="s">
        <v>331</v>
      </c>
      <c r="C213" s="208" t="s">
        <v>42</v>
      </c>
      <c r="D213" s="217" t="s">
        <v>161</v>
      </c>
      <c r="E213" s="177">
        <f t="shared" si="92"/>
        <v>17.55</v>
      </c>
      <c r="F213" s="178">
        <v>2</v>
      </c>
      <c r="G213" s="163">
        <v>35.1</v>
      </c>
      <c r="H213" s="210"/>
      <c r="I213" s="207"/>
      <c r="J213" s="152"/>
      <c r="K213" s="205"/>
      <c r="L213" s="206"/>
      <c r="M213" s="205"/>
      <c r="N213" s="206"/>
      <c r="O213" s="214"/>
      <c r="P213" s="89">
        <f t="shared" si="89"/>
        <v>0</v>
      </c>
      <c r="Q213" s="86">
        <f t="shared" si="90"/>
        <v>0</v>
      </c>
      <c r="R213" s="227">
        <f t="shared" si="91"/>
        <v>-1</v>
      </c>
      <c r="S213" s="293"/>
      <c r="T213" s="171"/>
    </row>
    <row r="214" spans="1:20" s="60" customFormat="1" ht="47.25">
      <c r="A214" s="169" t="s">
        <v>332</v>
      </c>
      <c r="B214" s="362" t="s">
        <v>333</v>
      </c>
      <c r="C214" s="208" t="s">
        <v>42</v>
      </c>
      <c r="D214" s="217" t="s">
        <v>161</v>
      </c>
      <c r="E214" s="177">
        <f t="shared" si="92"/>
        <v>17.566666666666666</v>
      </c>
      <c r="F214" s="178">
        <v>3</v>
      </c>
      <c r="G214" s="163">
        <v>52.7</v>
      </c>
      <c r="H214" s="210"/>
      <c r="I214" s="207"/>
      <c r="J214" s="152"/>
      <c r="K214" s="205"/>
      <c r="L214" s="206"/>
      <c r="M214" s="205"/>
      <c r="N214" s="206"/>
      <c r="O214" s="214"/>
      <c r="P214" s="89">
        <f t="shared" si="89"/>
        <v>0</v>
      </c>
      <c r="Q214" s="86">
        <f t="shared" si="90"/>
        <v>0</v>
      </c>
      <c r="R214" s="227">
        <f t="shared" si="91"/>
        <v>-1</v>
      </c>
      <c r="S214" s="293"/>
      <c r="T214" s="171"/>
    </row>
    <row r="215" spans="1:20" s="60" customFormat="1" ht="47.25">
      <c r="A215" s="169" t="s">
        <v>334</v>
      </c>
      <c r="B215" s="362" t="s">
        <v>335</v>
      </c>
      <c r="C215" s="208" t="s">
        <v>42</v>
      </c>
      <c r="D215" s="217" t="s">
        <v>161</v>
      </c>
      <c r="E215" s="177">
        <f t="shared" si="92"/>
        <v>27.114999999999998</v>
      </c>
      <c r="F215" s="178">
        <v>2</v>
      </c>
      <c r="G215" s="163">
        <v>54.23</v>
      </c>
      <c r="H215" s="210"/>
      <c r="I215" s="207"/>
      <c r="J215" s="152"/>
      <c r="K215" s="205"/>
      <c r="L215" s="206"/>
      <c r="M215" s="205"/>
      <c r="N215" s="206"/>
      <c r="O215" s="214"/>
      <c r="P215" s="89">
        <f t="shared" si="89"/>
        <v>0</v>
      </c>
      <c r="Q215" s="86">
        <f t="shared" si="90"/>
        <v>0</v>
      </c>
      <c r="R215" s="227">
        <f t="shared" si="91"/>
        <v>-1</v>
      </c>
      <c r="S215" s="293"/>
      <c r="T215" s="171"/>
    </row>
    <row r="216" spans="1:20" s="60" customFormat="1" ht="47.25">
      <c r="A216" s="169" t="s">
        <v>336</v>
      </c>
      <c r="B216" s="362" t="s">
        <v>337</v>
      </c>
      <c r="C216" s="208" t="s">
        <v>42</v>
      </c>
      <c r="D216" s="217" t="s">
        <v>161</v>
      </c>
      <c r="E216" s="177">
        <f t="shared" si="92"/>
        <v>20.785</v>
      </c>
      <c r="F216" s="178">
        <v>4</v>
      </c>
      <c r="G216" s="163">
        <v>83.14</v>
      </c>
      <c r="H216" s="210"/>
      <c r="I216" s="207"/>
      <c r="J216" s="152"/>
      <c r="K216" s="205"/>
      <c r="L216" s="206"/>
      <c r="M216" s="205"/>
      <c r="N216" s="206"/>
      <c r="O216" s="214"/>
      <c r="P216" s="89">
        <f t="shared" si="89"/>
        <v>0</v>
      </c>
      <c r="Q216" s="86">
        <f t="shared" si="90"/>
        <v>0</v>
      </c>
      <c r="R216" s="227">
        <f t="shared" si="91"/>
        <v>-1</v>
      </c>
      <c r="S216" s="293"/>
      <c r="T216" s="171"/>
    </row>
    <row r="217" spans="1:20" s="60" customFormat="1" ht="47.25">
      <c r="A217" s="169" t="s">
        <v>338</v>
      </c>
      <c r="B217" s="362" t="s">
        <v>339</v>
      </c>
      <c r="C217" s="208" t="s">
        <v>42</v>
      </c>
      <c r="D217" s="217" t="s">
        <v>161</v>
      </c>
      <c r="E217" s="177">
        <f t="shared" si="92"/>
        <v>35.32</v>
      </c>
      <c r="F217" s="178">
        <v>1</v>
      </c>
      <c r="G217" s="163">
        <v>35.32</v>
      </c>
      <c r="H217" s="210"/>
      <c r="I217" s="207"/>
      <c r="J217" s="152"/>
      <c r="K217" s="205"/>
      <c r="L217" s="206"/>
      <c r="M217" s="205"/>
      <c r="N217" s="206"/>
      <c r="O217" s="214"/>
      <c r="P217" s="89">
        <f t="shared" si="89"/>
        <v>0</v>
      </c>
      <c r="Q217" s="86">
        <f t="shared" si="90"/>
        <v>0</v>
      </c>
      <c r="R217" s="227">
        <f t="shared" si="91"/>
        <v>-1</v>
      </c>
      <c r="S217" s="293"/>
      <c r="T217" s="171"/>
    </row>
    <row r="218" spans="1:20" s="60" customFormat="1" ht="47.25">
      <c r="A218" s="244" t="s">
        <v>340</v>
      </c>
      <c r="B218" s="250" t="s">
        <v>341</v>
      </c>
      <c r="C218" s="253" t="s">
        <v>42</v>
      </c>
      <c r="D218" s="251" t="s">
        <v>348</v>
      </c>
      <c r="E218" s="246">
        <f t="shared" si="92"/>
        <v>46549.18</v>
      </c>
      <c r="F218" s="368">
        <v>1</v>
      </c>
      <c r="G218" s="246">
        <v>46549.18</v>
      </c>
      <c r="H218" s="210"/>
      <c r="I218" s="207"/>
      <c r="J218" s="152">
        <f>L218/K218</f>
        <v>23259.535</v>
      </c>
      <c r="K218" s="205">
        <v>1</v>
      </c>
      <c r="L218" s="206">
        <f>27911.442/1.2</f>
        <v>23259.535</v>
      </c>
      <c r="M218" s="205"/>
      <c r="N218" s="206"/>
      <c r="O218" s="214"/>
      <c r="P218" s="233">
        <f t="shared" ref="P218:P221" si="93">H218-K218</f>
        <v>-1</v>
      </c>
      <c r="Q218" s="87">
        <f t="shared" ref="Q218:Q221" si="94">I218-L218</f>
        <v>-23259.535</v>
      </c>
      <c r="R218" s="226">
        <f t="shared" ref="R218:R221" si="95">(J218-E218)/E218</f>
        <v>-0.50032342137928099</v>
      </c>
      <c r="S218" s="293"/>
      <c r="T218" s="171"/>
    </row>
    <row r="219" spans="1:20" s="60" customFormat="1" ht="63">
      <c r="A219" s="244" t="s">
        <v>342</v>
      </c>
      <c r="B219" s="250" t="s">
        <v>343</v>
      </c>
      <c r="C219" s="253" t="s">
        <v>42</v>
      </c>
      <c r="D219" s="285" t="s">
        <v>161</v>
      </c>
      <c r="E219" s="246">
        <f t="shared" si="92"/>
        <v>962.19</v>
      </c>
      <c r="F219" s="368">
        <v>1</v>
      </c>
      <c r="G219" s="369">
        <v>962.19</v>
      </c>
      <c r="H219" s="210"/>
      <c r="I219" s="207"/>
      <c r="J219" s="152"/>
      <c r="K219" s="205"/>
      <c r="L219" s="206"/>
      <c r="M219" s="205"/>
      <c r="N219" s="206"/>
      <c r="O219" s="214"/>
      <c r="P219" s="233">
        <f t="shared" si="93"/>
        <v>0</v>
      </c>
      <c r="Q219" s="87">
        <f t="shared" si="94"/>
        <v>0</v>
      </c>
      <c r="R219" s="226">
        <f t="shared" si="95"/>
        <v>-1</v>
      </c>
      <c r="S219" s="293"/>
      <c r="T219" s="171"/>
    </row>
    <row r="220" spans="1:20" s="60" customFormat="1" ht="63">
      <c r="A220" s="244" t="s">
        <v>344</v>
      </c>
      <c r="B220" s="250" t="s">
        <v>345</v>
      </c>
      <c r="C220" s="253" t="s">
        <v>42</v>
      </c>
      <c r="D220" s="285" t="s">
        <v>161</v>
      </c>
      <c r="E220" s="246">
        <f t="shared" si="92"/>
        <v>1087.57</v>
      </c>
      <c r="F220" s="368">
        <v>1</v>
      </c>
      <c r="G220" s="369">
        <v>1087.57</v>
      </c>
      <c r="H220" s="210"/>
      <c r="I220" s="207"/>
      <c r="J220" s="152"/>
      <c r="K220" s="205"/>
      <c r="L220" s="206"/>
      <c r="M220" s="205"/>
      <c r="N220" s="206"/>
      <c r="O220" s="214"/>
      <c r="P220" s="233">
        <f t="shared" si="93"/>
        <v>0</v>
      </c>
      <c r="Q220" s="87">
        <f t="shared" si="94"/>
        <v>0</v>
      </c>
      <c r="R220" s="226">
        <f t="shared" si="95"/>
        <v>-1</v>
      </c>
      <c r="S220" s="293"/>
      <c r="T220" s="171"/>
    </row>
    <row r="221" spans="1:20" s="60" customFormat="1" ht="63">
      <c r="A221" s="244" t="s">
        <v>346</v>
      </c>
      <c r="B221" s="250" t="s">
        <v>347</v>
      </c>
      <c r="C221" s="253" t="s">
        <v>42</v>
      </c>
      <c r="D221" s="285" t="s">
        <v>161</v>
      </c>
      <c r="E221" s="246">
        <f>G221/F221</f>
        <v>62.24</v>
      </c>
      <c r="F221" s="370">
        <v>1</v>
      </c>
      <c r="G221" s="369">
        <v>62.24</v>
      </c>
      <c r="H221" s="210"/>
      <c r="I221" s="207"/>
      <c r="J221" s="152"/>
      <c r="K221" s="205"/>
      <c r="L221" s="206"/>
      <c r="M221" s="205"/>
      <c r="N221" s="206"/>
      <c r="O221" s="214"/>
      <c r="P221" s="233">
        <f t="shared" si="93"/>
        <v>0</v>
      </c>
      <c r="Q221" s="87">
        <f t="shared" si="94"/>
        <v>0</v>
      </c>
      <c r="R221" s="226">
        <f t="shared" si="95"/>
        <v>-1</v>
      </c>
      <c r="S221" s="293"/>
      <c r="T221" s="171"/>
    </row>
    <row r="222" spans="1:20" s="127" customFormat="1" ht="18.75">
      <c r="A222" s="433" t="s">
        <v>26</v>
      </c>
      <c r="B222" s="433"/>
      <c r="C222" s="433"/>
      <c r="D222" s="433"/>
      <c r="E222" s="433"/>
      <c r="F222" s="113"/>
      <c r="G222" s="112">
        <f>G221+G220+G219+G218+G208+G202+G199+G191+G184+G180+G159+G158+G157+G8</f>
        <v>154595.04699999999</v>
      </c>
      <c r="H222" s="112"/>
      <c r="I222" s="112">
        <f>I221+I220+I219+I218+I208+I202+I199+I191+I184+I180+I159+I158+I157+I8</f>
        <v>24989.969999999998</v>
      </c>
      <c r="J222" s="112"/>
      <c r="K222" s="112"/>
      <c r="L222" s="112">
        <f>L221+L220+L219+L218+L208+L202+L199+L191+L184+L180+L159+L158+L157+L8</f>
        <v>40564.265015000004</v>
      </c>
      <c r="M222" s="112"/>
      <c r="N222" s="112">
        <f>N221+N220+N219+N218+N208+N202+N199+N191+N184+N180+N159+N158+N157+N8</f>
        <v>13608.334078333335</v>
      </c>
      <c r="O222" s="112"/>
      <c r="P222" s="112"/>
      <c r="Q222" s="112">
        <f>Q221+Q220+Q219+Q218+Q208+Q202+Q199+Q191+Q184+Q180+Q159+Q158+Q157+Q8</f>
        <v>-15574.295015000005</v>
      </c>
      <c r="R222" s="229"/>
      <c r="S222" s="230"/>
      <c r="T222" s="230"/>
    </row>
    <row r="223" spans="1:20" s="60" customFormat="1" ht="18.75">
      <c r="A223" s="434" t="s">
        <v>28</v>
      </c>
      <c r="B223" s="435"/>
      <c r="C223" s="435"/>
      <c r="D223" s="435"/>
      <c r="E223" s="435"/>
      <c r="F223" s="435"/>
      <c r="G223" s="435"/>
      <c r="H223" s="435"/>
      <c r="I223" s="435"/>
      <c r="J223" s="435"/>
      <c r="K223" s="435"/>
      <c r="L223" s="435"/>
      <c r="M223" s="435"/>
      <c r="N223" s="435"/>
      <c r="O223" s="435"/>
      <c r="P223" s="435"/>
      <c r="Q223" s="435"/>
      <c r="R223" s="435"/>
      <c r="S223" s="435"/>
      <c r="T223" s="436"/>
    </row>
    <row r="224" spans="1:20" s="60" customFormat="1" ht="15.75">
      <c r="A224" s="133" t="s">
        <v>63</v>
      </c>
      <c r="B224" s="134"/>
      <c r="C224" s="140"/>
      <c r="D224" s="140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102"/>
      <c r="Q224" s="104"/>
      <c r="R224" s="61"/>
      <c r="S224" s="62"/>
      <c r="T224" s="62"/>
    </row>
    <row r="225" spans="1:20" s="60" customFormat="1" ht="31.5">
      <c r="A225" s="141">
        <v>2.1</v>
      </c>
      <c r="B225" s="142" t="s">
        <v>64</v>
      </c>
      <c r="C225" s="143"/>
      <c r="D225" s="144"/>
      <c r="E225" s="137"/>
      <c r="F225" s="145"/>
      <c r="G225" s="146"/>
      <c r="H225" s="61"/>
      <c r="I225" s="61"/>
      <c r="J225" s="61"/>
      <c r="K225" s="61"/>
      <c r="L225" s="61"/>
      <c r="M225" s="61"/>
      <c r="N225" s="61"/>
      <c r="O225" s="139"/>
      <c r="P225" s="92"/>
      <c r="Q225" s="87"/>
      <c r="R225" s="148"/>
      <c r="S225" s="189"/>
      <c r="T225" s="62"/>
    </row>
    <row r="226" spans="1:20" s="60" customFormat="1" ht="47.25">
      <c r="A226" s="141" t="s">
        <v>65</v>
      </c>
      <c r="B226" s="371" t="s">
        <v>79</v>
      </c>
      <c r="C226" s="63" t="s">
        <v>42</v>
      </c>
      <c r="D226" s="217" t="s">
        <v>349</v>
      </c>
      <c r="E226" s="135">
        <v>1.38</v>
      </c>
      <c r="F226" s="181">
        <v>16129</v>
      </c>
      <c r="G226" s="268">
        <f>E226*F226</f>
        <v>22258.019999999997</v>
      </c>
      <c r="H226" s="383">
        <v>3226</v>
      </c>
      <c r="I226" s="317">
        <f>H226*E226</f>
        <v>4451.88</v>
      </c>
      <c r="J226" s="86">
        <f t="shared" ref="J226:J231" si="96">L226/K226</f>
        <v>1.3</v>
      </c>
      <c r="K226" s="131">
        <v>8025</v>
      </c>
      <c r="L226" s="86">
        <v>10432.5</v>
      </c>
      <c r="M226" s="151">
        <v>1075</v>
      </c>
      <c r="N226" s="86">
        <v>1397.5</v>
      </c>
      <c r="O226" s="130"/>
      <c r="P226" s="89">
        <f t="shared" ref="P226:P231" si="97">H226-K226</f>
        <v>-4799</v>
      </c>
      <c r="Q226" s="86">
        <f t="shared" ref="Q226" si="98">I226-L226</f>
        <v>-5980.62</v>
      </c>
      <c r="R226" s="227">
        <f t="shared" ref="R226" si="99">(J226-E226)/E226</f>
        <v>-5.797101449275352E-2</v>
      </c>
      <c r="S226" s="237"/>
      <c r="T226" s="62"/>
    </row>
    <row r="227" spans="1:20" s="60" customFormat="1" ht="47.25">
      <c r="A227" s="141" t="s">
        <v>66</v>
      </c>
      <c r="B227" s="371" t="s">
        <v>80</v>
      </c>
      <c r="C227" s="63" t="s">
        <v>42</v>
      </c>
      <c r="D227" s="217" t="s">
        <v>100</v>
      </c>
      <c r="E227" s="135">
        <v>2.97</v>
      </c>
      <c r="F227" s="181">
        <v>3244</v>
      </c>
      <c r="G227" s="268">
        <f t="shared" ref="G227:G230" si="100">E227*F227</f>
        <v>9634.68</v>
      </c>
      <c r="H227" s="383">
        <v>649</v>
      </c>
      <c r="I227" s="317">
        <f t="shared" ref="I227:I231" si="101">H227*E227</f>
        <v>1927.5300000000002</v>
      </c>
      <c r="J227" s="86">
        <f>L227/K227</f>
        <v>2.8349078564500485</v>
      </c>
      <c r="K227" s="131">
        <v>1031</v>
      </c>
      <c r="L227" s="86">
        <v>2922.79</v>
      </c>
      <c r="M227" s="151">
        <v>426</v>
      </c>
      <c r="N227" s="86">
        <v>1207.71</v>
      </c>
      <c r="O227" s="130"/>
      <c r="P227" s="89">
        <f t="shared" si="97"/>
        <v>-382</v>
      </c>
      <c r="Q227" s="86">
        <f t="shared" ref="Q227:Q230" si="102">I227-L227</f>
        <v>-995.25999999999976</v>
      </c>
      <c r="R227" s="227">
        <f t="shared" ref="R227:R230" si="103">(J227-E227)/E227</f>
        <v>-4.548557021883895E-2</v>
      </c>
      <c r="S227" s="237"/>
      <c r="T227" s="62"/>
    </row>
    <row r="228" spans="1:20" s="60" customFormat="1" ht="31.5">
      <c r="A228" s="141" t="s">
        <v>67</v>
      </c>
      <c r="B228" s="371" t="s">
        <v>81</v>
      </c>
      <c r="C228" s="63" t="s">
        <v>42</v>
      </c>
      <c r="D228" s="217" t="s">
        <v>100</v>
      </c>
      <c r="E228" s="135">
        <v>14.7</v>
      </c>
      <c r="F228" s="181">
        <v>75</v>
      </c>
      <c r="G228" s="268">
        <f t="shared" si="100"/>
        <v>1102.5</v>
      </c>
      <c r="H228" s="383">
        <v>15</v>
      </c>
      <c r="I228" s="317">
        <f t="shared" si="101"/>
        <v>220.5</v>
      </c>
      <c r="J228" s="86"/>
      <c r="K228" s="108"/>
      <c r="L228" s="238"/>
      <c r="M228" s="151"/>
      <c r="N228" s="86"/>
      <c r="O228" s="130"/>
      <c r="P228" s="89">
        <f t="shared" si="97"/>
        <v>15</v>
      </c>
      <c r="Q228" s="86">
        <f t="shared" si="102"/>
        <v>220.5</v>
      </c>
      <c r="R228" s="227">
        <f t="shared" si="103"/>
        <v>-1</v>
      </c>
      <c r="S228" s="237"/>
      <c r="T228" s="62"/>
    </row>
    <row r="229" spans="1:20" s="60" customFormat="1" ht="31.5">
      <c r="A229" s="141" t="s">
        <v>68</v>
      </c>
      <c r="B229" s="371" t="s">
        <v>82</v>
      </c>
      <c r="C229" s="63" t="s">
        <v>42</v>
      </c>
      <c r="D229" s="217" t="s">
        <v>100</v>
      </c>
      <c r="E229" s="135">
        <v>21.7</v>
      </c>
      <c r="F229" s="181">
        <v>47</v>
      </c>
      <c r="G229" s="268">
        <f t="shared" si="100"/>
        <v>1019.9</v>
      </c>
      <c r="H229" s="383">
        <v>9</v>
      </c>
      <c r="I229" s="317">
        <f t="shared" si="101"/>
        <v>195.29999999999998</v>
      </c>
      <c r="J229" s="86"/>
      <c r="K229" s="108"/>
      <c r="L229" s="238"/>
      <c r="M229" s="151"/>
      <c r="N229" s="86"/>
      <c r="O229" s="130"/>
      <c r="P229" s="89">
        <f t="shared" si="97"/>
        <v>9</v>
      </c>
      <c r="Q229" s="86">
        <f t="shared" si="102"/>
        <v>195.29999999999998</v>
      </c>
      <c r="R229" s="227">
        <f t="shared" si="103"/>
        <v>-1</v>
      </c>
      <c r="S229" s="237"/>
      <c r="T229" s="62"/>
    </row>
    <row r="230" spans="1:20" s="60" customFormat="1" ht="15.75">
      <c r="A230" s="141" t="s">
        <v>69</v>
      </c>
      <c r="B230" s="371" t="s">
        <v>70</v>
      </c>
      <c r="C230" s="63" t="s">
        <v>42</v>
      </c>
      <c r="D230" s="217" t="s">
        <v>100</v>
      </c>
      <c r="E230" s="135">
        <v>3.1777000000000002</v>
      </c>
      <c r="F230" s="181">
        <v>139</v>
      </c>
      <c r="G230" s="268">
        <f t="shared" si="100"/>
        <v>441.70030000000003</v>
      </c>
      <c r="H230" s="383">
        <v>28</v>
      </c>
      <c r="I230" s="317">
        <f t="shared" si="101"/>
        <v>88.9756</v>
      </c>
      <c r="J230" s="86">
        <f t="shared" si="96"/>
        <v>3.0240099009900989</v>
      </c>
      <c r="K230" s="108">
        <v>101</v>
      </c>
      <c r="L230" s="238">
        <v>305.42500000000001</v>
      </c>
      <c r="M230" s="151"/>
      <c r="N230" s="86"/>
      <c r="O230" s="130"/>
      <c r="P230" s="89">
        <f t="shared" si="97"/>
        <v>-73</v>
      </c>
      <c r="Q230" s="86">
        <f t="shared" si="102"/>
        <v>-216.44940000000003</v>
      </c>
      <c r="R230" s="227">
        <f t="shared" si="103"/>
        <v>-4.8365200934607187E-2</v>
      </c>
      <c r="S230" s="237"/>
      <c r="T230" s="62"/>
    </row>
    <row r="231" spans="1:20" s="60" customFormat="1" ht="15.75">
      <c r="A231" s="141" t="s">
        <v>71</v>
      </c>
      <c r="B231" s="371" t="s">
        <v>83</v>
      </c>
      <c r="C231" s="63" t="s">
        <v>42</v>
      </c>
      <c r="D231" s="217" t="s">
        <v>100</v>
      </c>
      <c r="E231" s="232">
        <v>0.66769699999999998</v>
      </c>
      <c r="F231" s="181">
        <f>F230*3</f>
        <v>417</v>
      </c>
      <c r="G231" s="268">
        <f>E231*F231</f>
        <v>278.42964899999998</v>
      </c>
      <c r="H231" s="383">
        <v>84</v>
      </c>
      <c r="I231" s="317">
        <f t="shared" si="101"/>
        <v>56.086548000000001</v>
      </c>
      <c r="J231" s="86">
        <f t="shared" si="96"/>
        <v>0.42499999999999999</v>
      </c>
      <c r="K231" s="108">
        <v>60</v>
      </c>
      <c r="L231" s="238">
        <v>25.5</v>
      </c>
      <c r="M231" s="151"/>
      <c r="N231" s="86"/>
      <c r="O231" s="130"/>
      <c r="P231" s="89">
        <f t="shared" si="97"/>
        <v>24</v>
      </c>
      <c r="Q231" s="86">
        <f t="shared" ref="Q231" si="104">I231-L231</f>
        <v>30.586548000000001</v>
      </c>
      <c r="R231" s="227">
        <f t="shared" ref="R231" si="105">(J231-E231)/E231</f>
        <v>-0.36348373588618788</v>
      </c>
      <c r="S231" s="237"/>
      <c r="T231" s="62"/>
    </row>
    <row r="232" spans="1:20" s="60" customFormat="1" ht="15.75">
      <c r="A232" s="416" t="s">
        <v>59</v>
      </c>
      <c r="B232" s="417"/>
      <c r="C232" s="88"/>
      <c r="D232" s="88"/>
      <c r="E232" s="100"/>
      <c r="F232" s="100"/>
      <c r="G232" s="101">
        <f>SUM(G226:G231)</f>
        <v>34735.229948999993</v>
      </c>
      <c r="H232" s="101"/>
      <c r="I232" s="101">
        <f>SUM(I226:I231)</f>
        <v>6940.272148</v>
      </c>
      <c r="J232" s="86"/>
      <c r="K232" s="101"/>
      <c r="L232" s="101">
        <f t="shared" ref="L232:Q232" si="106">SUM(L226:L231)</f>
        <v>13686.215</v>
      </c>
      <c r="M232" s="101"/>
      <c r="N232" s="101">
        <f t="shared" si="106"/>
        <v>2605.21</v>
      </c>
      <c r="O232" s="101"/>
      <c r="P232" s="101"/>
      <c r="Q232" s="101">
        <f t="shared" si="106"/>
        <v>-6745.9428519999992</v>
      </c>
      <c r="R232" s="148"/>
      <c r="S232" s="101"/>
      <c r="T232" s="62"/>
    </row>
    <row r="233" spans="1:20" s="60" customFormat="1" ht="15.75">
      <c r="A233" s="413" t="s">
        <v>60</v>
      </c>
      <c r="B233" s="414"/>
      <c r="C233" s="414"/>
      <c r="D233" s="414"/>
      <c r="E233" s="415"/>
      <c r="F233" s="100"/>
      <c r="G233" s="88"/>
      <c r="H233" s="88"/>
      <c r="I233" s="88"/>
      <c r="J233" s="86"/>
      <c r="K233" s="100"/>
      <c r="L233" s="100"/>
      <c r="M233" s="100"/>
      <c r="N233" s="100"/>
      <c r="O233" s="88"/>
      <c r="P233" s="103"/>
      <c r="Q233" s="106"/>
      <c r="R233" s="148"/>
      <c r="S233" s="62"/>
      <c r="T233" s="62"/>
    </row>
    <row r="234" spans="1:20" s="60" customFormat="1" ht="31.5">
      <c r="A234" s="65">
        <v>2.2000000000000002</v>
      </c>
      <c r="B234" s="218" t="s">
        <v>43</v>
      </c>
      <c r="C234" s="63" t="s">
        <v>42</v>
      </c>
      <c r="D234" s="217" t="s">
        <v>100</v>
      </c>
      <c r="E234" s="219">
        <v>0.5588805</v>
      </c>
      <c r="F234" s="147">
        <v>2500</v>
      </c>
      <c r="G234" s="268">
        <v>1397.2012500000001</v>
      </c>
      <c r="H234" s="383">
        <v>500</v>
      </c>
      <c r="I234" s="317">
        <f>H234*E234</f>
        <v>279.44024999999999</v>
      </c>
      <c r="J234" s="86">
        <f>L234/K234</f>
        <v>0.5588805</v>
      </c>
      <c r="K234" s="131">
        <f>L234/E234</f>
        <v>328.85943417242146</v>
      </c>
      <c r="L234" s="86">
        <v>183.793125</v>
      </c>
      <c r="M234" s="131"/>
      <c r="N234" s="86"/>
      <c r="O234" s="130"/>
      <c r="P234" s="89">
        <f t="shared" ref="P234:P235" si="107">H234-K234</f>
        <v>171.14056582757854</v>
      </c>
      <c r="Q234" s="86">
        <f t="shared" ref="Q234" si="108">I234-L234</f>
        <v>95.647124999999988</v>
      </c>
      <c r="R234" s="227">
        <f t="shared" ref="R234" si="109">(J234-E234)/E234</f>
        <v>0</v>
      </c>
      <c r="S234" s="237"/>
      <c r="T234" s="62"/>
    </row>
    <row r="235" spans="1:20" s="60" customFormat="1" ht="31.5">
      <c r="A235" s="65">
        <v>2.2999999999999998</v>
      </c>
      <c r="B235" s="218" t="s">
        <v>47</v>
      </c>
      <c r="C235" s="63" t="s">
        <v>42</v>
      </c>
      <c r="D235" s="217" t="s">
        <v>100</v>
      </c>
      <c r="E235" s="219">
        <v>0.68244249999999984</v>
      </c>
      <c r="F235" s="138">
        <v>1000</v>
      </c>
      <c r="G235" s="268">
        <v>682.44249999999988</v>
      </c>
      <c r="H235" s="383">
        <v>200</v>
      </c>
      <c r="I235" s="317">
        <f>H235*E235</f>
        <v>136.48849999999996</v>
      </c>
      <c r="J235" s="86">
        <f>L235/K235</f>
        <v>0.68244249999999995</v>
      </c>
      <c r="K235" s="131">
        <f>L235/E235</f>
        <v>66.165640328672382</v>
      </c>
      <c r="L235" s="86">
        <v>45.154244999999996</v>
      </c>
      <c r="M235" s="131"/>
      <c r="N235" s="86"/>
      <c r="O235" s="130"/>
      <c r="P235" s="89">
        <f t="shared" si="107"/>
        <v>133.8343596713276</v>
      </c>
      <c r="Q235" s="86">
        <f t="shared" ref="Q235" si="110">I235-L235</f>
        <v>91.334254999999956</v>
      </c>
      <c r="R235" s="227">
        <f t="shared" ref="R235" si="111">(J235-E235)/E235</f>
        <v>1.6268374619475733E-16</v>
      </c>
      <c r="S235" s="237"/>
      <c r="T235" s="62"/>
    </row>
    <row r="236" spans="1:20" s="60" customFormat="1" ht="15.75">
      <c r="A236" s="416" t="s">
        <v>59</v>
      </c>
      <c r="B236" s="417"/>
      <c r="C236" s="88"/>
      <c r="D236" s="88"/>
      <c r="E236" s="88"/>
      <c r="F236" s="88"/>
      <c r="G236" s="101">
        <f>SUM(G234:G235)</f>
        <v>2079.6437500000002</v>
      </c>
      <c r="H236" s="88"/>
      <c r="I236" s="153">
        <f>SUM(I234:I235)</f>
        <v>415.92874999999992</v>
      </c>
      <c r="J236" s="154"/>
      <c r="K236" s="154"/>
      <c r="L236" s="101">
        <f>SUM(L234:L235)</f>
        <v>228.94737000000001</v>
      </c>
      <c r="M236" s="155"/>
      <c r="N236" s="101">
        <f>SUM(N234:N235)</f>
        <v>0</v>
      </c>
      <c r="O236" s="88"/>
      <c r="P236" s="152"/>
      <c r="Q236" s="152">
        <f>SUM(Q234:Q235)</f>
        <v>186.98137999999994</v>
      </c>
      <c r="R236" s="121"/>
      <c r="S236" s="237"/>
      <c r="T236" s="62"/>
    </row>
    <row r="237" spans="1:20" s="60" customFormat="1" ht="15.75">
      <c r="A237" s="413" t="s">
        <v>145</v>
      </c>
      <c r="B237" s="414"/>
      <c r="C237" s="414"/>
      <c r="D237" s="414"/>
      <c r="E237" s="415"/>
      <c r="F237" s="88"/>
      <c r="G237" s="101"/>
      <c r="H237" s="88"/>
      <c r="I237" s="153"/>
      <c r="J237" s="154"/>
      <c r="K237" s="154"/>
      <c r="L237" s="101"/>
      <c r="M237" s="155"/>
      <c r="N237" s="101"/>
      <c r="O237" s="88"/>
      <c r="P237" s="152"/>
      <c r="Q237" s="152"/>
      <c r="R237" s="121"/>
      <c r="S237" s="237"/>
      <c r="T237" s="62"/>
    </row>
    <row r="238" spans="1:20" s="60" customFormat="1" ht="31.5">
      <c r="A238" s="65">
        <v>2.4</v>
      </c>
      <c r="B238" s="220" t="s">
        <v>146</v>
      </c>
      <c r="C238" s="63" t="s">
        <v>42</v>
      </c>
      <c r="D238" s="217" t="s">
        <v>352</v>
      </c>
      <c r="E238" s="219">
        <v>0.35</v>
      </c>
      <c r="F238" s="181">
        <v>12500</v>
      </c>
      <c r="G238" s="268">
        <v>4375</v>
      </c>
      <c r="H238" s="383">
        <f>I238/E238</f>
        <v>4000.0000000000005</v>
      </c>
      <c r="I238" s="317">
        <v>1400</v>
      </c>
      <c r="J238" s="86">
        <f>L238/K238</f>
        <v>0.31</v>
      </c>
      <c r="K238" s="91">
        <v>8000</v>
      </c>
      <c r="L238" s="86">
        <v>2480</v>
      </c>
      <c r="M238" s="89">
        <v>4524</v>
      </c>
      <c r="N238" s="86">
        <v>1402.44</v>
      </c>
      <c r="O238" s="130"/>
      <c r="P238" s="89">
        <f t="shared" ref="P238" si="112">H238-K238</f>
        <v>-3999.9999999999995</v>
      </c>
      <c r="Q238" s="86">
        <f t="shared" ref="Q238" si="113">I238-L238</f>
        <v>-1080</v>
      </c>
      <c r="R238" s="227">
        <f t="shared" ref="R238" si="114">(J238-E238)/E238</f>
        <v>-0.11428571428571424</v>
      </c>
      <c r="S238" s="237"/>
      <c r="T238" s="62"/>
    </row>
    <row r="239" spans="1:20" s="60" customFormat="1" ht="15.75">
      <c r="A239" s="416" t="s">
        <v>59</v>
      </c>
      <c r="B239" s="417"/>
      <c r="C239" s="88"/>
      <c r="D239" s="88"/>
      <c r="E239" s="88"/>
      <c r="F239" s="88"/>
      <c r="G239" s="101">
        <f>G238</f>
        <v>4375</v>
      </c>
      <c r="H239" s="88"/>
      <c r="I239" s="153">
        <f>I238</f>
        <v>1400</v>
      </c>
      <c r="J239" s="154"/>
      <c r="K239" s="154"/>
      <c r="L239" s="101">
        <f>L238</f>
        <v>2480</v>
      </c>
      <c r="M239" s="155"/>
      <c r="N239" s="101">
        <f>N238</f>
        <v>1402.44</v>
      </c>
      <c r="O239" s="88"/>
      <c r="P239" s="152"/>
      <c r="Q239" s="152">
        <f>Q238</f>
        <v>-1080</v>
      </c>
      <c r="R239" s="121"/>
      <c r="S239" s="62"/>
      <c r="T239" s="62"/>
    </row>
    <row r="240" spans="1:20" s="60" customFormat="1" ht="15.75">
      <c r="A240" s="416" t="s">
        <v>147</v>
      </c>
      <c r="B240" s="437"/>
      <c r="C240" s="437"/>
      <c r="D240" s="437"/>
      <c r="E240" s="417"/>
      <c r="F240" s="88"/>
      <c r="G240" s="101"/>
      <c r="H240" s="88"/>
      <c r="I240" s="153"/>
      <c r="J240" s="154"/>
      <c r="K240" s="154"/>
      <c r="L240" s="101"/>
      <c r="M240" s="155"/>
      <c r="N240" s="101"/>
      <c r="O240" s="88"/>
      <c r="P240" s="152"/>
      <c r="Q240" s="152"/>
      <c r="R240" s="121"/>
      <c r="S240" s="62"/>
      <c r="T240" s="62"/>
    </row>
    <row r="241" spans="1:20" s="60" customFormat="1" ht="31.5">
      <c r="A241" s="196">
        <v>2.5</v>
      </c>
      <c r="B241" s="221" t="s">
        <v>148</v>
      </c>
      <c r="C241" s="88"/>
      <c r="D241" s="88"/>
      <c r="E241" s="88"/>
      <c r="F241" s="88"/>
      <c r="G241" s="101"/>
      <c r="H241" s="88"/>
      <c r="I241" s="153"/>
      <c r="J241" s="154"/>
      <c r="K241" s="154"/>
      <c r="L241" s="101"/>
      <c r="M241" s="155"/>
      <c r="N241" s="101"/>
      <c r="O241" s="88"/>
      <c r="P241" s="152"/>
      <c r="Q241" s="152"/>
      <c r="R241" s="121"/>
      <c r="S241" s="62"/>
      <c r="T241" s="62"/>
    </row>
    <row r="242" spans="1:20" s="60" customFormat="1" ht="47.25">
      <c r="A242" s="177" t="s">
        <v>149</v>
      </c>
      <c r="B242" s="222" t="s">
        <v>150</v>
      </c>
      <c r="C242" s="63" t="s">
        <v>42</v>
      </c>
      <c r="D242" s="217" t="s">
        <v>100</v>
      </c>
      <c r="E242" s="135">
        <v>8</v>
      </c>
      <c r="F242" s="181">
        <v>58</v>
      </c>
      <c r="G242" s="268">
        <v>464</v>
      </c>
      <c r="H242" s="383">
        <v>12</v>
      </c>
      <c r="I242" s="317">
        <v>96</v>
      </c>
      <c r="J242" s="86">
        <f>L242/K242</f>
        <v>5.4</v>
      </c>
      <c r="K242" s="108">
        <v>27</v>
      </c>
      <c r="L242" s="238">
        <v>145.80000000000001</v>
      </c>
      <c r="M242" s="278">
        <v>11</v>
      </c>
      <c r="N242" s="238">
        <v>59.4</v>
      </c>
      <c r="O242" s="130"/>
      <c r="P242" s="89">
        <f t="shared" ref="P242:P243" si="115">H242-K242</f>
        <v>-15</v>
      </c>
      <c r="Q242" s="86">
        <f t="shared" ref="Q242" si="116">I242-L242</f>
        <v>-49.800000000000011</v>
      </c>
      <c r="R242" s="227">
        <f t="shared" ref="R242" si="117">(J242-E242)/E242</f>
        <v>-0.32499999999999996</v>
      </c>
      <c r="S242" s="237"/>
      <c r="T242" s="62"/>
    </row>
    <row r="243" spans="1:20" s="60" customFormat="1" ht="63">
      <c r="A243" s="177" t="s">
        <v>151</v>
      </c>
      <c r="B243" s="222" t="s">
        <v>152</v>
      </c>
      <c r="C243" s="63" t="s">
        <v>42</v>
      </c>
      <c r="D243" s="217" t="s">
        <v>353</v>
      </c>
      <c r="E243" s="135">
        <v>6.5</v>
      </c>
      <c r="F243" s="181">
        <v>66</v>
      </c>
      <c r="G243" s="268">
        <v>429</v>
      </c>
      <c r="H243" s="383">
        <v>13</v>
      </c>
      <c r="I243" s="317">
        <v>84.5</v>
      </c>
      <c r="J243" s="86">
        <f>L243/K243</f>
        <v>5.4</v>
      </c>
      <c r="K243" s="108">
        <v>30</v>
      </c>
      <c r="L243" s="238">
        <v>162</v>
      </c>
      <c r="M243" s="278">
        <v>8</v>
      </c>
      <c r="N243" s="238">
        <v>43.2</v>
      </c>
      <c r="O243" s="130"/>
      <c r="P243" s="89">
        <f t="shared" si="115"/>
        <v>-17</v>
      </c>
      <c r="Q243" s="86">
        <f t="shared" ref="Q243" si="118">I243-L243</f>
        <v>-77.5</v>
      </c>
      <c r="R243" s="227">
        <f t="shared" ref="R243" si="119">(J243-E243)/E243</f>
        <v>-0.16923076923076918</v>
      </c>
      <c r="S243" s="237"/>
      <c r="T243" s="62"/>
    </row>
    <row r="244" spans="1:20" s="60" customFormat="1" ht="15.75">
      <c r="A244" s="416" t="s">
        <v>59</v>
      </c>
      <c r="B244" s="417"/>
      <c r="C244" s="88"/>
      <c r="D244" s="88"/>
      <c r="E244" s="88"/>
      <c r="F244" s="88"/>
      <c r="G244" s="101">
        <f>SUM(G242:G243)</f>
        <v>893</v>
      </c>
      <c r="H244" s="88"/>
      <c r="I244" s="153">
        <f>SUM(I242:I243)</f>
        <v>180.5</v>
      </c>
      <c r="J244" s="154"/>
      <c r="K244" s="154"/>
      <c r="L244" s="101">
        <f>SUM(L242:L243)</f>
        <v>307.8</v>
      </c>
      <c r="M244" s="155"/>
      <c r="N244" s="101">
        <f>SUM(N242:N243)</f>
        <v>102.6</v>
      </c>
      <c r="O244" s="88"/>
      <c r="P244" s="152"/>
      <c r="Q244" s="152">
        <f>SUM(Q242:Q243)</f>
        <v>-127.30000000000001</v>
      </c>
      <c r="R244" s="121"/>
      <c r="S244" s="62"/>
      <c r="T244" s="62"/>
    </row>
    <row r="245" spans="1:20" s="60" customFormat="1" ht="15.75">
      <c r="A245" s="433" t="s">
        <v>27</v>
      </c>
      <c r="B245" s="433"/>
      <c r="C245" s="433"/>
      <c r="D245" s="433"/>
      <c r="E245" s="433"/>
      <c r="F245" s="115"/>
      <c r="G245" s="112">
        <f>G244+G239+G236+G232</f>
        <v>42082.873698999996</v>
      </c>
      <c r="H245" s="112"/>
      <c r="I245" s="112">
        <f t="shared" ref="I245:Q245" si="120">I244+I239+I236+I232</f>
        <v>8936.7008979999991</v>
      </c>
      <c r="J245" s="112"/>
      <c r="K245" s="112"/>
      <c r="L245" s="112">
        <f t="shared" si="120"/>
        <v>16702.962370000001</v>
      </c>
      <c r="M245" s="112"/>
      <c r="N245" s="112">
        <f t="shared" si="120"/>
        <v>4110.25</v>
      </c>
      <c r="O245" s="112"/>
      <c r="P245" s="112"/>
      <c r="Q245" s="112">
        <f t="shared" si="120"/>
        <v>-7766.2614719999992</v>
      </c>
      <c r="R245" s="116"/>
      <c r="S245" s="117"/>
      <c r="T245" s="117"/>
    </row>
    <row r="246" spans="1:20" s="60" customFormat="1" ht="15.75">
      <c r="A246" s="438" t="s">
        <v>29</v>
      </c>
      <c r="B246" s="439"/>
      <c r="C246" s="439"/>
      <c r="D246" s="439"/>
      <c r="E246" s="439"/>
      <c r="F246" s="439"/>
      <c r="G246" s="439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  <c r="T246" s="440"/>
    </row>
    <row r="247" spans="1:20" s="60" customFormat="1" ht="31.5">
      <c r="A247" s="196">
        <v>3.1</v>
      </c>
      <c r="B247" s="218" t="s">
        <v>350</v>
      </c>
      <c r="C247" s="156" t="s">
        <v>42</v>
      </c>
      <c r="D247" s="217" t="s">
        <v>100</v>
      </c>
      <c r="E247" s="372">
        <v>750</v>
      </c>
      <c r="F247" s="99">
        <v>1</v>
      </c>
      <c r="G247" s="373">
        <v>750</v>
      </c>
      <c r="H247" s="99"/>
      <c r="I247" s="228"/>
      <c r="J247" s="157"/>
      <c r="K247" s="91"/>
      <c r="L247" s="157"/>
      <c r="M247" s="91"/>
      <c r="N247" s="157"/>
      <c r="O247" s="130"/>
      <c r="P247" s="89">
        <f t="shared" ref="P247:P248" si="121">H247-K247</f>
        <v>0</v>
      </c>
      <c r="Q247" s="86">
        <f t="shared" ref="Q247:Q248" si="122">I247-L247</f>
        <v>0</v>
      </c>
      <c r="R247" s="227">
        <f t="shared" ref="R247:R248" si="123">(J247-E247)/E247</f>
        <v>-1</v>
      </c>
      <c r="S247" s="237"/>
      <c r="T247" s="66"/>
    </row>
    <row r="248" spans="1:20" s="60" customFormat="1" ht="31.5">
      <c r="A248" s="196">
        <v>3.2</v>
      </c>
      <c r="B248" s="218" t="s">
        <v>351</v>
      </c>
      <c r="C248" s="156" t="s">
        <v>42</v>
      </c>
      <c r="D248" s="217" t="s">
        <v>100</v>
      </c>
      <c r="E248" s="372">
        <v>650</v>
      </c>
      <c r="F248" s="99">
        <v>1</v>
      </c>
      <c r="G248" s="373">
        <v>650</v>
      </c>
      <c r="H248" s="99"/>
      <c r="I248" s="228"/>
      <c r="J248" s="157"/>
      <c r="K248" s="91"/>
      <c r="L248" s="157"/>
      <c r="M248" s="91"/>
      <c r="N248" s="157"/>
      <c r="O248" s="130"/>
      <c r="P248" s="89">
        <f t="shared" si="121"/>
        <v>0</v>
      </c>
      <c r="Q248" s="86">
        <f t="shared" si="122"/>
        <v>0</v>
      </c>
      <c r="R248" s="227">
        <f t="shared" si="123"/>
        <v>-1</v>
      </c>
      <c r="S248" s="237"/>
      <c r="T248" s="66"/>
    </row>
    <row r="249" spans="1:20" s="60" customFormat="1" ht="15.75">
      <c r="A249" s="441" t="s">
        <v>30</v>
      </c>
      <c r="B249" s="441"/>
      <c r="C249" s="441"/>
      <c r="D249" s="441"/>
      <c r="E249" s="441"/>
      <c r="F249" s="115"/>
      <c r="G249" s="112">
        <f>SUM(G247:G248)</f>
        <v>1400</v>
      </c>
      <c r="H249" s="112"/>
      <c r="I249" s="112">
        <f>SUM(I247:I248)</f>
        <v>0</v>
      </c>
      <c r="J249" s="112"/>
      <c r="K249" s="112"/>
      <c r="L249" s="112">
        <f>SUM(L247:L248)</f>
        <v>0</v>
      </c>
      <c r="M249" s="112"/>
      <c r="N249" s="112">
        <f>SUM(N247:N248)</f>
        <v>0</v>
      </c>
      <c r="O249" s="112"/>
      <c r="P249" s="112"/>
      <c r="Q249" s="112">
        <f>SUM(Q247:Q248)</f>
        <v>0</v>
      </c>
      <c r="R249" s="112"/>
      <c r="S249" s="117"/>
      <c r="T249" s="117"/>
    </row>
    <row r="250" spans="1:20" s="60" customFormat="1" ht="15.75">
      <c r="A250" s="438" t="s">
        <v>31</v>
      </c>
      <c r="B250" s="439"/>
      <c r="C250" s="439"/>
      <c r="D250" s="439"/>
      <c r="E250" s="439"/>
      <c r="F250" s="439"/>
      <c r="G250" s="439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  <c r="T250" s="440"/>
    </row>
    <row r="251" spans="1:20" s="60" customFormat="1" ht="15.75">
      <c r="A251" s="416" t="s">
        <v>44</v>
      </c>
      <c r="B251" s="417"/>
      <c r="C251" s="108"/>
      <c r="D251" s="109"/>
      <c r="E251" s="95"/>
      <c r="F251" s="96"/>
      <c r="G251" s="98"/>
      <c r="H251" s="98"/>
      <c r="I251" s="98"/>
      <c r="J251" s="98"/>
      <c r="K251" s="98"/>
      <c r="L251" s="98"/>
      <c r="M251" s="98"/>
      <c r="N251" s="98"/>
      <c r="O251" s="98"/>
      <c r="P251" s="94"/>
      <c r="Q251" s="94"/>
      <c r="R251" s="105"/>
      <c r="S251" s="186"/>
      <c r="T251" s="105"/>
    </row>
    <row r="252" spans="1:20" s="60" customFormat="1" ht="47.25">
      <c r="A252" s="223" t="s">
        <v>84</v>
      </c>
      <c r="B252" s="224" t="s">
        <v>354</v>
      </c>
      <c r="C252" s="156" t="s">
        <v>42</v>
      </c>
      <c r="D252" s="217" t="s">
        <v>357</v>
      </c>
      <c r="E252" s="159">
        <v>26.45</v>
      </c>
      <c r="F252" s="183">
        <v>130</v>
      </c>
      <c r="G252" s="373">
        <v>3438.5</v>
      </c>
      <c r="H252" s="183">
        <v>130</v>
      </c>
      <c r="I252" s="373">
        <v>3438.5</v>
      </c>
      <c r="J252" s="86">
        <v>26.257999999999999</v>
      </c>
      <c r="K252" s="151">
        <v>130</v>
      </c>
      <c r="L252" s="86">
        <f>J252*K252</f>
        <v>3413.54</v>
      </c>
      <c r="M252" s="151">
        <v>130</v>
      </c>
      <c r="N252" s="86">
        <f>L252</f>
        <v>3413.54</v>
      </c>
      <c r="O252" s="130" t="s">
        <v>383</v>
      </c>
      <c r="P252" s="89">
        <f t="shared" ref="P252:P254" si="124">H252-K252</f>
        <v>0</v>
      </c>
      <c r="Q252" s="86">
        <f t="shared" ref="Q252:Q254" si="125">I252-L252</f>
        <v>24.960000000000036</v>
      </c>
      <c r="R252" s="227">
        <f t="shared" ref="R252:R254" si="126">(J252-E252)/E252</f>
        <v>-7.2589792060491556E-3</v>
      </c>
      <c r="S252" s="237"/>
      <c r="T252" s="62"/>
    </row>
    <row r="253" spans="1:20" s="60" customFormat="1" ht="47.25">
      <c r="A253" s="223" t="s">
        <v>85</v>
      </c>
      <c r="B253" s="224" t="s">
        <v>355</v>
      </c>
      <c r="C253" s="156" t="s">
        <v>42</v>
      </c>
      <c r="D253" s="217" t="s">
        <v>357</v>
      </c>
      <c r="E253" s="159">
        <v>26.7</v>
      </c>
      <c r="F253" s="183">
        <v>19</v>
      </c>
      <c r="G253" s="373">
        <f>E253*F253</f>
        <v>507.3</v>
      </c>
      <c r="H253" s="183">
        <v>19</v>
      </c>
      <c r="I253" s="373">
        <v>507.3</v>
      </c>
      <c r="J253" s="86">
        <v>22.834</v>
      </c>
      <c r="K253" s="160">
        <v>19</v>
      </c>
      <c r="L253" s="86">
        <f>J253*K253</f>
        <v>433.846</v>
      </c>
      <c r="M253" s="124">
        <v>19</v>
      </c>
      <c r="N253" s="86">
        <f>L253</f>
        <v>433.846</v>
      </c>
      <c r="O253" s="130" t="s">
        <v>384</v>
      </c>
      <c r="P253" s="89">
        <f t="shared" si="124"/>
        <v>0</v>
      </c>
      <c r="Q253" s="86">
        <f t="shared" si="125"/>
        <v>73.454000000000008</v>
      </c>
      <c r="R253" s="227">
        <f t="shared" si="126"/>
        <v>-0.1447940074906367</v>
      </c>
      <c r="S253" s="237"/>
      <c r="T253" s="62"/>
    </row>
    <row r="254" spans="1:20" s="60" customFormat="1" ht="78.75">
      <c r="A254" s="223" t="s">
        <v>86</v>
      </c>
      <c r="B254" s="224" t="s">
        <v>356</v>
      </c>
      <c r="C254" s="156" t="s">
        <v>42</v>
      </c>
      <c r="D254" s="217" t="s">
        <v>357</v>
      </c>
      <c r="E254" s="159">
        <v>24</v>
      </c>
      <c r="F254" s="183">
        <v>30</v>
      </c>
      <c r="G254" s="373">
        <v>720</v>
      </c>
      <c r="H254" s="183">
        <v>30</v>
      </c>
      <c r="I254" s="373">
        <v>720</v>
      </c>
      <c r="J254" s="86">
        <v>24</v>
      </c>
      <c r="K254" s="160">
        <v>30</v>
      </c>
      <c r="L254" s="86">
        <f>J254*K254</f>
        <v>720</v>
      </c>
      <c r="M254" s="160">
        <v>30</v>
      </c>
      <c r="N254" s="86">
        <v>720</v>
      </c>
      <c r="O254" s="130" t="s">
        <v>385</v>
      </c>
      <c r="P254" s="89">
        <f t="shared" si="124"/>
        <v>0</v>
      </c>
      <c r="Q254" s="86">
        <f t="shared" si="125"/>
        <v>0</v>
      </c>
      <c r="R254" s="227">
        <f t="shared" si="126"/>
        <v>0</v>
      </c>
      <c r="S254" s="237"/>
      <c r="T254" s="62"/>
    </row>
    <row r="255" spans="1:20" s="60" customFormat="1" ht="15.75">
      <c r="A255" s="416" t="s">
        <v>59</v>
      </c>
      <c r="B255" s="417"/>
      <c r="C255" s="67"/>
      <c r="D255" s="68"/>
      <c r="E255" s="95"/>
      <c r="F255" s="96"/>
      <c r="G255" s="97">
        <f>SUM(G252:G254)</f>
        <v>4665.8</v>
      </c>
      <c r="H255" s="98"/>
      <c r="I255" s="97">
        <f>SUM(I252:I254)</f>
        <v>4665.8</v>
      </c>
      <c r="J255" s="97"/>
      <c r="K255" s="97"/>
      <c r="L255" s="97">
        <f>SUM(L252:L254)</f>
        <v>4567.3860000000004</v>
      </c>
      <c r="M255" s="97"/>
      <c r="N255" s="97">
        <f>SUM(N252:N254)</f>
        <v>4567.3860000000004</v>
      </c>
      <c r="O255" s="97"/>
      <c r="P255" s="93"/>
      <c r="Q255" s="97">
        <f>SUM(Q252:Q254)</f>
        <v>98.414000000000044</v>
      </c>
      <c r="R255" s="149"/>
      <c r="S255" s="237" t="s">
        <v>101</v>
      </c>
      <c r="T255" s="62"/>
    </row>
    <row r="256" spans="1:20" s="60" customFormat="1" ht="15.75">
      <c r="A256" s="416" t="s">
        <v>53</v>
      </c>
      <c r="B256" s="417"/>
      <c r="C256" s="67"/>
      <c r="D256" s="68"/>
      <c r="E256" s="95"/>
      <c r="F256" s="96"/>
      <c r="G256" s="98"/>
      <c r="H256" s="98"/>
      <c r="I256" s="122"/>
      <c r="J256" s="90"/>
      <c r="K256" s="124"/>
      <c r="L256" s="86"/>
      <c r="M256" s="69"/>
      <c r="N256" s="69"/>
      <c r="O256" s="69"/>
      <c r="P256" s="93"/>
      <c r="Q256" s="94"/>
      <c r="R256" s="149"/>
      <c r="S256" s="237"/>
      <c r="T256" s="62"/>
    </row>
    <row r="257" spans="1:20" s="60" customFormat="1" ht="31.5">
      <c r="A257" s="223" t="s">
        <v>87</v>
      </c>
      <c r="B257" s="224" t="s">
        <v>358</v>
      </c>
      <c r="C257" s="156" t="s">
        <v>42</v>
      </c>
      <c r="D257" s="217" t="s">
        <v>100</v>
      </c>
      <c r="E257" s="159">
        <v>3725.82</v>
      </c>
      <c r="F257" s="160">
        <v>1</v>
      </c>
      <c r="G257" s="373">
        <v>3725.82</v>
      </c>
      <c r="H257" s="160"/>
      <c r="I257" s="86"/>
      <c r="J257" s="86"/>
      <c r="K257" s="124"/>
      <c r="L257" s="86"/>
      <c r="M257" s="124"/>
      <c r="N257" s="86"/>
      <c r="O257" s="130"/>
      <c r="P257" s="89">
        <f t="shared" ref="P257" si="127">H257-K257</f>
        <v>0</v>
      </c>
      <c r="Q257" s="86">
        <f t="shared" ref="Q257" si="128">I257-L257</f>
        <v>0</v>
      </c>
      <c r="R257" s="227">
        <f t="shared" ref="R257" si="129">(J257-E257)/E257</f>
        <v>-1</v>
      </c>
      <c r="S257" s="237"/>
      <c r="T257" s="62"/>
    </row>
    <row r="258" spans="1:20" s="60" customFormat="1" ht="31.5">
      <c r="A258" s="223" t="s">
        <v>359</v>
      </c>
      <c r="B258" s="224" t="s">
        <v>360</v>
      </c>
      <c r="C258" s="156" t="s">
        <v>42</v>
      </c>
      <c r="D258" s="217" t="s">
        <v>100</v>
      </c>
      <c r="E258" s="159">
        <v>2877</v>
      </c>
      <c r="F258" s="160">
        <v>1</v>
      </c>
      <c r="G258" s="373">
        <v>2877</v>
      </c>
      <c r="H258" s="160"/>
      <c r="I258" s="86"/>
      <c r="J258" s="86"/>
      <c r="K258" s="124"/>
      <c r="L258" s="86"/>
      <c r="M258" s="124"/>
      <c r="N258" s="86"/>
      <c r="O258" s="130"/>
      <c r="P258" s="89">
        <f t="shared" ref="P258:P260" si="130">H258-K258</f>
        <v>0</v>
      </c>
      <c r="Q258" s="86">
        <f t="shared" ref="Q258:Q260" si="131">I258-L258</f>
        <v>0</v>
      </c>
      <c r="R258" s="227">
        <f t="shared" ref="R258:R260" si="132">(J258-E258)/E258</f>
        <v>-1</v>
      </c>
      <c r="S258" s="293"/>
      <c r="T258" s="62"/>
    </row>
    <row r="259" spans="1:20" s="60" customFormat="1" ht="31.5">
      <c r="A259" s="223" t="s">
        <v>361</v>
      </c>
      <c r="B259" s="224" t="s">
        <v>362</v>
      </c>
      <c r="C259" s="156" t="s">
        <v>42</v>
      </c>
      <c r="D259" s="217" t="s">
        <v>100</v>
      </c>
      <c r="E259" s="159">
        <v>1050</v>
      </c>
      <c r="F259" s="160">
        <v>2</v>
      </c>
      <c r="G259" s="373">
        <v>2100</v>
      </c>
      <c r="H259" s="160"/>
      <c r="I259" s="86"/>
      <c r="J259" s="86"/>
      <c r="K259" s="124"/>
      <c r="L259" s="86"/>
      <c r="M259" s="124"/>
      <c r="N259" s="86"/>
      <c r="O259" s="130"/>
      <c r="P259" s="89">
        <f t="shared" si="130"/>
        <v>0</v>
      </c>
      <c r="Q259" s="86">
        <f t="shared" si="131"/>
        <v>0</v>
      </c>
      <c r="R259" s="227">
        <f t="shared" si="132"/>
        <v>-1</v>
      </c>
      <c r="S259" s="293"/>
      <c r="T259" s="62"/>
    </row>
    <row r="260" spans="1:20" s="60" customFormat="1" ht="31.5">
      <c r="A260" s="223" t="s">
        <v>363</v>
      </c>
      <c r="B260" s="224" t="s">
        <v>364</v>
      </c>
      <c r="C260" s="156" t="s">
        <v>42</v>
      </c>
      <c r="D260" s="217" t="s">
        <v>100</v>
      </c>
      <c r="E260" s="159">
        <v>350</v>
      </c>
      <c r="F260" s="160">
        <v>1</v>
      </c>
      <c r="G260" s="373">
        <v>350</v>
      </c>
      <c r="H260" s="160"/>
      <c r="I260" s="86"/>
      <c r="J260" s="86">
        <f>L260/K260</f>
        <v>144.9</v>
      </c>
      <c r="K260" s="124">
        <v>1</v>
      </c>
      <c r="L260" s="86">
        <f>173.88/1.2</f>
        <v>144.9</v>
      </c>
      <c r="M260" s="124">
        <v>1</v>
      </c>
      <c r="N260" s="86">
        <v>349.8</v>
      </c>
      <c r="O260" s="130" t="s">
        <v>386</v>
      </c>
      <c r="P260" s="89">
        <f t="shared" si="130"/>
        <v>-1</v>
      </c>
      <c r="Q260" s="86">
        <f t="shared" si="131"/>
        <v>-144.9</v>
      </c>
      <c r="R260" s="227">
        <f t="shared" si="132"/>
        <v>-0.58599999999999997</v>
      </c>
      <c r="S260" s="293"/>
      <c r="T260" s="62"/>
    </row>
    <row r="261" spans="1:20" s="60" customFormat="1" ht="15.75">
      <c r="A261" s="416" t="s">
        <v>59</v>
      </c>
      <c r="B261" s="417"/>
      <c r="C261" s="67"/>
      <c r="D261" s="68"/>
      <c r="E261" s="95"/>
      <c r="F261" s="96"/>
      <c r="G261" s="97">
        <f>SUM(G257:G260)</f>
        <v>9052.82</v>
      </c>
      <c r="H261" s="98"/>
      <c r="I261" s="97">
        <f>SUM(I257:I260)</f>
        <v>0</v>
      </c>
      <c r="J261" s="97"/>
      <c r="K261" s="97"/>
      <c r="L261" s="97">
        <f>SUM(L257:L260)</f>
        <v>144.9</v>
      </c>
      <c r="M261" s="97"/>
      <c r="N261" s="97">
        <f>SUM(N257:N260)</f>
        <v>349.8</v>
      </c>
      <c r="O261" s="97"/>
      <c r="P261" s="167"/>
      <c r="Q261" s="97">
        <f>SUM(Q257:Q260)</f>
        <v>-144.9</v>
      </c>
      <c r="R261" s="149"/>
      <c r="S261" s="237" t="s">
        <v>101</v>
      </c>
      <c r="T261" s="62"/>
    </row>
    <row r="262" spans="1:20" s="60" customFormat="1" ht="15.75">
      <c r="A262" s="416" t="s">
        <v>45</v>
      </c>
      <c r="B262" s="417"/>
      <c r="C262" s="67"/>
      <c r="D262" s="68"/>
      <c r="E262" s="95"/>
      <c r="F262" s="96"/>
      <c r="G262" s="98"/>
      <c r="H262" s="98"/>
      <c r="I262" s="98"/>
      <c r="J262" s="69"/>
      <c r="K262" s="69"/>
      <c r="L262" s="69"/>
      <c r="M262" s="69"/>
      <c r="N262" s="69"/>
      <c r="O262" s="69"/>
      <c r="P262" s="93"/>
      <c r="Q262" s="94"/>
      <c r="R262" s="149"/>
      <c r="S262" s="237"/>
      <c r="T262" s="62"/>
    </row>
    <row r="263" spans="1:20" s="60" customFormat="1" ht="31.5">
      <c r="A263" s="70">
        <v>4.8</v>
      </c>
      <c r="B263" s="158" t="s">
        <v>48</v>
      </c>
      <c r="C263" s="71" t="s">
        <v>42</v>
      </c>
      <c r="D263" s="217" t="s">
        <v>77</v>
      </c>
      <c r="E263" s="182">
        <v>1300</v>
      </c>
      <c r="F263" s="183">
        <v>1</v>
      </c>
      <c r="G263" s="373">
        <f t="shared" ref="G263" si="133">E263*F263</f>
        <v>1300</v>
      </c>
      <c r="H263" s="183">
        <v>1</v>
      </c>
      <c r="I263" s="373">
        <f t="shared" ref="I263" si="134">G263*H263</f>
        <v>1300</v>
      </c>
      <c r="J263" s="86">
        <v>1282.0423000000001</v>
      </c>
      <c r="K263" s="99">
        <v>1</v>
      </c>
      <c r="L263" s="94">
        <f>J263*K263</f>
        <v>1282.0423000000001</v>
      </c>
      <c r="M263" s="99"/>
      <c r="N263" s="94"/>
      <c r="O263" s="130"/>
      <c r="P263" s="89">
        <f t="shared" ref="P263" si="135">H263-K263</f>
        <v>0</v>
      </c>
      <c r="Q263" s="86">
        <f t="shared" ref="Q263" si="136">I263-L263</f>
        <v>17.957699999999932</v>
      </c>
      <c r="R263" s="227">
        <f t="shared" ref="R263" si="137">(J263-E263)/E263</f>
        <v>-1.3813615384615332E-2</v>
      </c>
      <c r="S263" s="237"/>
      <c r="T263" s="62"/>
    </row>
    <row r="264" spans="1:20" s="60" customFormat="1" ht="15.75">
      <c r="A264" s="416" t="s">
        <v>59</v>
      </c>
      <c r="B264" s="417"/>
      <c r="C264" s="67"/>
      <c r="D264" s="68"/>
      <c r="E264" s="95"/>
      <c r="F264" s="96"/>
      <c r="G264" s="97">
        <f>G263</f>
        <v>1300</v>
      </c>
      <c r="H264" s="98"/>
      <c r="I264" s="97">
        <f t="shared" ref="I264" si="138">SUM(I263)</f>
        <v>1300</v>
      </c>
      <c r="J264" s="97"/>
      <c r="K264" s="97"/>
      <c r="L264" s="97">
        <f>SUM(L263)</f>
        <v>1282.0423000000001</v>
      </c>
      <c r="M264" s="150"/>
      <c r="N264" s="97">
        <f>SUM(N263)</f>
        <v>0</v>
      </c>
      <c r="O264" s="69"/>
      <c r="P264" s="93"/>
      <c r="Q264" s="97">
        <f>Q263</f>
        <v>17.957699999999932</v>
      </c>
      <c r="R264" s="132"/>
      <c r="S264" s="62"/>
      <c r="T264" s="62"/>
    </row>
    <row r="265" spans="1:20" s="60" customFormat="1" ht="15.75">
      <c r="A265" s="441" t="s">
        <v>32</v>
      </c>
      <c r="B265" s="441"/>
      <c r="C265" s="441"/>
      <c r="D265" s="441"/>
      <c r="E265" s="441"/>
      <c r="F265" s="118"/>
      <c r="G265" s="112">
        <f>G255+G261+G264</f>
        <v>15018.619999999999</v>
      </c>
      <c r="H265" s="112"/>
      <c r="I265" s="112">
        <f t="shared" ref="I265:Q265" si="139">I255+I261+I264</f>
        <v>5965.8</v>
      </c>
      <c r="J265" s="112"/>
      <c r="K265" s="112"/>
      <c r="L265" s="112">
        <f t="shared" si="139"/>
        <v>5994.3283000000001</v>
      </c>
      <c r="M265" s="112"/>
      <c r="N265" s="112">
        <f t="shared" si="139"/>
        <v>4917.1860000000006</v>
      </c>
      <c r="O265" s="112"/>
      <c r="P265" s="112"/>
      <c r="Q265" s="112">
        <f t="shared" si="139"/>
        <v>-28.52830000000003</v>
      </c>
      <c r="R265" s="116"/>
      <c r="S265" s="117"/>
      <c r="T265" s="117"/>
    </row>
    <row r="266" spans="1:20" s="60" customFormat="1" ht="15.75">
      <c r="A266" s="438" t="s">
        <v>33</v>
      </c>
      <c r="B266" s="439"/>
      <c r="C266" s="439"/>
      <c r="D266" s="439"/>
      <c r="E266" s="439"/>
      <c r="F266" s="439"/>
      <c r="G266" s="439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  <c r="T266" s="440"/>
    </row>
    <row r="267" spans="1:20" s="60" customFormat="1" ht="31.5">
      <c r="A267" s="196">
        <v>5.0999999999999996</v>
      </c>
      <c r="B267" s="374" t="s">
        <v>365</v>
      </c>
      <c r="C267" s="71" t="s">
        <v>42</v>
      </c>
      <c r="D267" s="217" t="s">
        <v>100</v>
      </c>
      <c r="E267" s="182">
        <v>545</v>
      </c>
      <c r="F267" s="375">
        <v>1</v>
      </c>
      <c r="G267" s="373">
        <f>E267*F267</f>
        <v>545</v>
      </c>
      <c r="H267" s="160"/>
      <c r="I267" s="159"/>
      <c r="J267" s="86"/>
      <c r="K267" s="99"/>
      <c r="L267" s="94"/>
      <c r="M267" s="99"/>
      <c r="N267" s="94"/>
      <c r="O267" s="130"/>
      <c r="P267" s="89">
        <f t="shared" ref="P267" si="140">H267-K267</f>
        <v>0</v>
      </c>
      <c r="Q267" s="86">
        <f t="shared" ref="Q267" si="141">I267-L267</f>
        <v>0</v>
      </c>
      <c r="R267" s="227">
        <f t="shared" ref="R267" si="142">(J267-E267)/E267</f>
        <v>-1</v>
      </c>
      <c r="S267" s="237"/>
      <c r="T267" s="107"/>
    </row>
    <row r="268" spans="1:20" s="60" customFormat="1" ht="31.5">
      <c r="A268" s="196">
        <v>5.2</v>
      </c>
      <c r="B268" s="374" t="s">
        <v>366</v>
      </c>
      <c r="C268" s="71" t="s">
        <v>42</v>
      </c>
      <c r="D268" s="217" t="s">
        <v>100</v>
      </c>
      <c r="E268" s="182">
        <v>600</v>
      </c>
      <c r="F268" s="375">
        <v>1</v>
      </c>
      <c r="G268" s="373">
        <f t="shared" ref="G268:G274" si="143">E268*F268</f>
        <v>600</v>
      </c>
      <c r="H268" s="160"/>
      <c r="I268" s="159"/>
      <c r="J268" s="86"/>
      <c r="K268" s="99"/>
      <c r="L268" s="159"/>
      <c r="M268" s="160"/>
      <c r="N268" s="159"/>
      <c r="O268" s="130"/>
      <c r="P268" s="89">
        <f t="shared" ref="P268:P274" si="144">H268-K268</f>
        <v>0</v>
      </c>
      <c r="Q268" s="86">
        <f t="shared" ref="Q268:Q274" si="145">I268-L268</f>
        <v>0</v>
      </c>
      <c r="R268" s="227">
        <f t="shared" ref="R268:R274" si="146">(J268-E268)/E268</f>
        <v>-1</v>
      </c>
      <c r="S268" s="237"/>
      <c r="T268" s="107"/>
    </row>
    <row r="269" spans="1:20" s="60" customFormat="1" ht="31.5">
      <c r="A269" s="196">
        <v>5.3</v>
      </c>
      <c r="B269" s="374" t="s">
        <v>367</v>
      </c>
      <c r="C269" s="71" t="s">
        <v>42</v>
      </c>
      <c r="D269" s="217" t="s">
        <v>100</v>
      </c>
      <c r="E269" s="182">
        <v>545</v>
      </c>
      <c r="F269" s="375">
        <v>1</v>
      </c>
      <c r="G269" s="373">
        <f t="shared" si="143"/>
        <v>545</v>
      </c>
      <c r="H269" s="160"/>
      <c r="I269" s="159"/>
      <c r="J269" s="86"/>
      <c r="K269" s="99"/>
      <c r="L269" s="159"/>
      <c r="M269" s="160"/>
      <c r="N269" s="159"/>
      <c r="O269" s="130"/>
      <c r="P269" s="89">
        <f t="shared" si="144"/>
        <v>0</v>
      </c>
      <c r="Q269" s="86">
        <f t="shared" si="145"/>
        <v>0</v>
      </c>
      <c r="R269" s="227">
        <f t="shared" si="146"/>
        <v>-1</v>
      </c>
      <c r="S269" s="293"/>
      <c r="T269" s="107"/>
    </row>
    <row r="270" spans="1:20" s="60" customFormat="1" ht="31.5">
      <c r="A270" s="196">
        <v>5.4</v>
      </c>
      <c r="B270" s="374" t="s">
        <v>368</v>
      </c>
      <c r="C270" s="71" t="s">
        <v>42</v>
      </c>
      <c r="D270" s="217" t="s">
        <v>100</v>
      </c>
      <c r="E270" s="182">
        <v>545</v>
      </c>
      <c r="F270" s="375">
        <v>1</v>
      </c>
      <c r="G270" s="373">
        <f t="shared" si="143"/>
        <v>545</v>
      </c>
      <c r="H270" s="160"/>
      <c r="I270" s="159"/>
      <c r="J270" s="86"/>
      <c r="K270" s="99"/>
      <c r="L270" s="159"/>
      <c r="M270" s="160"/>
      <c r="N270" s="159"/>
      <c r="O270" s="130"/>
      <c r="P270" s="89">
        <f t="shared" si="144"/>
        <v>0</v>
      </c>
      <c r="Q270" s="86">
        <f t="shared" si="145"/>
        <v>0</v>
      </c>
      <c r="R270" s="227">
        <f t="shared" si="146"/>
        <v>-1</v>
      </c>
      <c r="S270" s="293"/>
      <c r="T270" s="107"/>
    </row>
    <row r="271" spans="1:20" s="60" customFormat="1" ht="31.5">
      <c r="A271" s="196">
        <v>5.5</v>
      </c>
      <c r="B271" s="374" t="s">
        <v>369</v>
      </c>
      <c r="C271" s="71" t="s">
        <v>42</v>
      </c>
      <c r="D271" s="217" t="s">
        <v>100</v>
      </c>
      <c r="E271" s="376">
        <v>520</v>
      </c>
      <c r="F271" s="377">
        <v>1</v>
      </c>
      <c r="G271" s="373">
        <f>E271*F271</f>
        <v>520</v>
      </c>
      <c r="H271" s="160"/>
      <c r="I271" s="159"/>
      <c r="J271" s="86"/>
      <c r="K271" s="99"/>
      <c r="L271" s="159"/>
      <c r="M271" s="160"/>
      <c r="N271" s="159"/>
      <c r="O271" s="130"/>
      <c r="P271" s="89">
        <f t="shared" si="144"/>
        <v>0</v>
      </c>
      <c r="Q271" s="86">
        <f t="shared" si="145"/>
        <v>0</v>
      </c>
      <c r="R271" s="227">
        <f t="shared" si="146"/>
        <v>-1</v>
      </c>
      <c r="S271" s="293"/>
      <c r="T271" s="107"/>
    </row>
    <row r="272" spans="1:20" s="60" customFormat="1" ht="31.5">
      <c r="A272" s="196">
        <v>5.6</v>
      </c>
      <c r="B272" s="374" t="s">
        <v>370</v>
      </c>
      <c r="C272" s="71" t="s">
        <v>42</v>
      </c>
      <c r="D272" s="217" t="s">
        <v>100</v>
      </c>
      <c r="E272" s="376">
        <v>520</v>
      </c>
      <c r="F272" s="377">
        <v>1</v>
      </c>
      <c r="G272" s="373">
        <f t="shared" si="143"/>
        <v>520</v>
      </c>
      <c r="H272" s="160"/>
      <c r="I272" s="159"/>
      <c r="J272" s="86"/>
      <c r="K272" s="99"/>
      <c r="L272" s="159"/>
      <c r="M272" s="160"/>
      <c r="N272" s="159"/>
      <c r="O272" s="130"/>
      <c r="P272" s="89">
        <f t="shared" si="144"/>
        <v>0</v>
      </c>
      <c r="Q272" s="86">
        <f t="shared" si="145"/>
        <v>0</v>
      </c>
      <c r="R272" s="227">
        <f t="shared" si="146"/>
        <v>-1</v>
      </c>
      <c r="S272" s="237"/>
      <c r="T272" s="107"/>
    </row>
    <row r="273" spans="1:20" s="60" customFormat="1" ht="31.5">
      <c r="A273" s="196">
        <v>5.7</v>
      </c>
      <c r="B273" s="374" t="s">
        <v>371</v>
      </c>
      <c r="C273" s="71" t="s">
        <v>42</v>
      </c>
      <c r="D273" s="217" t="s">
        <v>100</v>
      </c>
      <c r="E273" s="376">
        <v>600</v>
      </c>
      <c r="F273" s="377">
        <v>1</v>
      </c>
      <c r="G273" s="373">
        <f t="shared" si="143"/>
        <v>600</v>
      </c>
      <c r="H273" s="160"/>
      <c r="I273" s="159"/>
      <c r="J273" s="86"/>
      <c r="K273" s="99"/>
      <c r="L273" s="159"/>
      <c r="M273" s="160"/>
      <c r="N273" s="159"/>
      <c r="O273" s="130"/>
      <c r="P273" s="89">
        <f t="shared" si="144"/>
        <v>0</v>
      </c>
      <c r="Q273" s="86">
        <f t="shared" si="145"/>
        <v>0</v>
      </c>
      <c r="R273" s="227">
        <f t="shared" si="146"/>
        <v>-1</v>
      </c>
      <c r="S273" s="293"/>
      <c r="T273" s="107"/>
    </row>
    <row r="274" spans="1:20" s="60" customFormat="1" ht="31.5">
      <c r="A274" s="196">
        <v>5.8</v>
      </c>
      <c r="B274" s="374" t="s">
        <v>372</v>
      </c>
      <c r="C274" s="71" t="s">
        <v>42</v>
      </c>
      <c r="D274" s="217" t="s">
        <v>100</v>
      </c>
      <c r="E274" s="376">
        <v>580</v>
      </c>
      <c r="F274" s="377">
        <v>1</v>
      </c>
      <c r="G274" s="373">
        <f t="shared" si="143"/>
        <v>580</v>
      </c>
      <c r="H274" s="160"/>
      <c r="I274" s="159"/>
      <c r="J274" s="86"/>
      <c r="K274" s="99"/>
      <c r="L274" s="159"/>
      <c r="M274" s="160"/>
      <c r="N274" s="159"/>
      <c r="O274" s="130"/>
      <c r="P274" s="89">
        <f t="shared" si="144"/>
        <v>0</v>
      </c>
      <c r="Q274" s="86">
        <f t="shared" si="145"/>
        <v>0</v>
      </c>
      <c r="R274" s="227">
        <f t="shared" si="146"/>
        <v>-1</v>
      </c>
      <c r="S274" s="293"/>
      <c r="T274" s="107"/>
    </row>
    <row r="275" spans="1:20" s="60" customFormat="1" ht="15.75">
      <c r="A275" s="442" t="s">
        <v>34</v>
      </c>
      <c r="B275" s="443"/>
      <c r="C275" s="443"/>
      <c r="D275" s="443"/>
      <c r="E275" s="444"/>
      <c r="F275" s="118"/>
      <c r="G275" s="112">
        <f>SUM(G267:G274)</f>
        <v>4455</v>
      </c>
      <c r="H275" s="112"/>
      <c r="I275" s="112">
        <f>SUM(I267:I274)</f>
        <v>0</v>
      </c>
      <c r="J275" s="112"/>
      <c r="K275" s="112"/>
      <c r="L275" s="112">
        <f>SUM(L267:L274)</f>
        <v>0</v>
      </c>
      <c r="M275" s="112"/>
      <c r="N275" s="112">
        <f>SUM(N267:N274)</f>
        <v>0</v>
      </c>
      <c r="O275" s="112"/>
      <c r="P275" s="112"/>
      <c r="Q275" s="112">
        <f>SUM(Q267:Q274)</f>
        <v>0</v>
      </c>
      <c r="R275" s="113"/>
      <c r="S275" s="117"/>
      <c r="T275" s="117"/>
    </row>
    <row r="276" spans="1:20" s="60" customFormat="1" ht="15.75">
      <c r="A276" s="438" t="s">
        <v>35</v>
      </c>
      <c r="B276" s="439"/>
      <c r="C276" s="439"/>
      <c r="D276" s="439"/>
      <c r="E276" s="439"/>
      <c r="F276" s="439"/>
      <c r="G276" s="439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  <c r="T276" s="440"/>
    </row>
    <row r="277" spans="1:20" s="60" customFormat="1" ht="15.75">
      <c r="A277" s="438" t="s">
        <v>61</v>
      </c>
      <c r="B277" s="440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90"/>
      <c r="Q277" s="90"/>
      <c r="R277" s="107"/>
      <c r="S277" s="107"/>
      <c r="T277" s="107"/>
    </row>
    <row r="278" spans="1:20" s="60" customFormat="1" ht="31.5">
      <c r="A278" s="378">
        <v>6.1</v>
      </c>
      <c r="B278" s="379" t="s">
        <v>373</v>
      </c>
      <c r="C278" s="63" t="s">
        <v>42</v>
      </c>
      <c r="D278" s="217" t="s">
        <v>77</v>
      </c>
      <c r="E278" s="380">
        <v>1833</v>
      </c>
      <c r="F278" s="381">
        <v>1</v>
      </c>
      <c r="G278" s="382">
        <v>1833</v>
      </c>
      <c r="H278" s="381">
        <v>1</v>
      </c>
      <c r="I278" s="382">
        <v>1833</v>
      </c>
      <c r="J278" s="86"/>
      <c r="K278" s="93"/>
      <c r="L278" s="182"/>
      <c r="M278" s="93"/>
      <c r="N278" s="182"/>
      <c r="O278" s="130"/>
      <c r="P278" s="89">
        <f t="shared" ref="P278:P284" si="147">H278-K278</f>
        <v>1</v>
      </c>
      <c r="Q278" s="86">
        <f t="shared" ref="Q278:Q284" si="148">I278-L278</f>
        <v>1833</v>
      </c>
      <c r="R278" s="227">
        <f t="shared" ref="R278:R284" si="149">(J278-E278)/E278</f>
        <v>-1</v>
      </c>
      <c r="S278" s="237"/>
      <c r="T278" s="62"/>
    </row>
    <row r="279" spans="1:20" s="60" customFormat="1" ht="15.75">
      <c r="A279" s="378">
        <v>6.2</v>
      </c>
      <c r="B279" s="379" t="s">
        <v>374</v>
      </c>
      <c r="C279" s="63" t="s">
        <v>42</v>
      </c>
      <c r="D279" s="217" t="s">
        <v>77</v>
      </c>
      <c r="E279" s="380">
        <v>1783.33</v>
      </c>
      <c r="F279" s="381">
        <v>2</v>
      </c>
      <c r="G279" s="382">
        <v>3566.66</v>
      </c>
      <c r="H279" s="381">
        <v>2</v>
      </c>
      <c r="I279" s="382">
        <v>3566.66</v>
      </c>
      <c r="J279" s="179">
        <f>L279/K279</f>
        <v>1781.25</v>
      </c>
      <c r="K279" s="217">
        <v>2</v>
      </c>
      <c r="L279" s="391">
        <v>3562.5</v>
      </c>
      <c r="M279" s="217">
        <v>2</v>
      </c>
      <c r="N279" s="391">
        <v>3562.5</v>
      </c>
      <c r="O279" s="130" t="s">
        <v>386</v>
      </c>
      <c r="P279" s="89">
        <f t="shared" si="147"/>
        <v>0</v>
      </c>
      <c r="Q279" s="86">
        <f t="shared" si="148"/>
        <v>4.1599999999998545</v>
      </c>
      <c r="R279" s="227">
        <f t="shared" si="149"/>
        <v>-1.1663573202940159E-3</v>
      </c>
      <c r="S279" s="237"/>
      <c r="T279" s="62"/>
    </row>
    <row r="280" spans="1:20" s="60" customFormat="1" ht="31.5">
      <c r="A280" s="378">
        <v>6.3</v>
      </c>
      <c r="B280" s="379" t="s">
        <v>375</v>
      </c>
      <c r="C280" s="63" t="s">
        <v>42</v>
      </c>
      <c r="D280" s="217" t="s">
        <v>100</v>
      </c>
      <c r="E280" s="380">
        <v>1140.1690000000001</v>
      </c>
      <c r="F280" s="381">
        <v>2</v>
      </c>
      <c r="G280" s="382">
        <v>2280.3380000000002</v>
      </c>
      <c r="H280" s="183"/>
      <c r="I280" s="182"/>
      <c r="J280" s="217"/>
      <c r="K280" s="217"/>
      <c r="L280" s="217"/>
      <c r="M280" s="217"/>
      <c r="N280" s="217"/>
      <c r="O280" s="130"/>
      <c r="P280" s="89">
        <f t="shared" si="147"/>
        <v>0</v>
      </c>
      <c r="Q280" s="86">
        <f t="shared" si="148"/>
        <v>0</v>
      </c>
      <c r="R280" s="227">
        <f t="shared" si="149"/>
        <v>-1</v>
      </c>
      <c r="S280" s="237"/>
      <c r="T280" s="62"/>
    </row>
    <row r="281" spans="1:20" s="60" customFormat="1" ht="15.75">
      <c r="A281" s="378">
        <v>6.4</v>
      </c>
      <c r="B281" s="379" t="s">
        <v>376</v>
      </c>
      <c r="C281" s="63" t="s">
        <v>42</v>
      </c>
      <c r="D281" s="217" t="s">
        <v>100</v>
      </c>
      <c r="E281" s="380">
        <v>400</v>
      </c>
      <c r="F281" s="381">
        <v>7</v>
      </c>
      <c r="G281" s="382">
        <v>2800</v>
      </c>
      <c r="H281" s="183"/>
      <c r="I281" s="182"/>
      <c r="J281" s="179">
        <f>L281/K281</f>
        <v>365</v>
      </c>
      <c r="K281" s="217">
        <v>7</v>
      </c>
      <c r="L281" s="94">
        <v>2555</v>
      </c>
      <c r="M281" s="217">
        <v>7</v>
      </c>
      <c r="N281" s="94">
        <v>2555</v>
      </c>
      <c r="O281" s="130" t="s">
        <v>386</v>
      </c>
      <c r="P281" s="89">
        <f t="shared" ref="P281:P282" si="150">H281-K281</f>
        <v>-7</v>
      </c>
      <c r="Q281" s="86">
        <f t="shared" ref="Q281:Q282" si="151">I281-L281</f>
        <v>-2555</v>
      </c>
      <c r="R281" s="227">
        <f t="shared" ref="R281:R282" si="152">(J281-E281)/E281</f>
        <v>-8.7499999999999994E-2</v>
      </c>
      <c r="S281" s="293"/>
      <c r="T281" s="62"/>
    </row>
    <row r="282" spans="1:20" s="60" customFormat="1" ht="31.5">
      <c r="A282" s="378">
        <v>6.5</v>
      </c>
      <c r="B282" s="379" t="s">
        <v>377</v>
      </c>
      <c r="C282" s="63" t="s">
        <v>42</v>
      </c>
      <c r="D282" s="217" t="s">
        <v>100</v>
      </c>
      <c r="E282" s="217">
        <v>463.33</v>
      </c>
      <c r="F282" s="383">
        <v>3</v>
      </c>
      <c r="G282" s="382">
        <v>1389.99</v>
      </c>
      <c r="H282" s="183"/>
      <c r="I282" s="182"/>
      <c r="J282" s="86"/>
      <c r="K282" s="93"/>
      <c r="L282" s="94"/>
      <c r="M282" s="93"/>
      <c r="N282" s="94"/>
      <c r="O282" s="130"/>
      <c r="P282" s="89">
        <f t="shared" si="150"/>
        <v>0</v>
      </c>
      <c r="Q282" s="86">
        <f t="shared" si="151"/>
        <v>0</v>
      </c>
      <c r="R282" s="227">
        <f t="shared" si="152"/>
        <v>-1</v>
      </c>
      <c r="S282" s="293"/>
      <c r="T282" s="62"/>
    </row>
    <row r="283" spans="1:20" s="60" customFormat="1" ht="15.75">
      <c r="A283" s="378">
        <v>6.6</v>
      </c>
      <c r="B283" s="379" t="s">
        <v>378</v>
      </c>
      <c r="C283" s="63" t="s">
        <v>42</v>
      </c>
      <c r="D283" s="217" t="s">
        <v>100</v>
      </c>
      <c r="E283" s="380">
        <v>416.3</v>
      </c>
      <c r="F283" s="381">
        <v>2</v>
      </c>
      <c r="G283" s="382">
        <v>832.6</v>
      </c>
      <c r="H283" s="183"/>
      <c r="I283" s="182"/>
      <c r="J283" s="86"/>
      <c r="K283" s="93"/>
      <c r="L283" s="94"/>
      <c r="M283" s="93"/>
      <c r="N283" s="94"/>
      <c r="O283" s="130"/>
      <c r="P283" s="89">
        <f t="shared" si="147"/>
        <v>0</v>
      </c>
      <c r="Q283" s="86">
        <f t="shared" si="148"/>
        <v>0</v>
      </c>
      <c r="R283" s="227">
        <f t="shared" si="149"/>
        <v>-1</v>
      </c>
      <c r="S283" s="237"/>
      <c r="T283" s="62"/>
    </row>
    <row r="284" spans="1:20" s="60" customFormat="1" ht="31.5">
      <c r="A284" s="378">
        <v>6.7</v>
      </c>
      <c r="B284" s="379" t="s">
        <v>379</v>
      </c>
      <c r="C284" s="63" t="s">
        <v>42</v>
      </c>
      <c r="D284" s="217" t="s">
        <v>100</v>
      </c>
      <c r="E284" s="380">
        <v>2070</v>
      </c>
      <c r="F284" s="381">
        <v>1</v>
      </c>
      <c r="G284" s="382">
        <v>2070</v>
      </c>
      <c r="H284" s="183"/>
      <c r="I284" s="182"/>
      <c r="J284" s="86"/>
      <c r="K284" s="93"/>
      <c r="L284" s="94"/>
      <c r="M284" s="93"/>
      <c r="N284" s="94"/>
      <c r="O284" s="130"/>
      <c r="P284" s="89">
        <f t="shared" si="147"/>
        <v>0</v>
      </c>
      <c r="Q284" s="86">
        <f t="shared" si="148"/>
        <v>0</v>
      </c>
      <c r="R284" s="227">
        <f t="shared" si="149"/>
        <v>-1</v>
      </c>
      <c r="S284" s="237"/>
      <c r="T284" s="62"/>
    </row>
    <row r="285" spans="1:20" s="60" customFormat="1" ht="15.75">
      <c r="A285" s="433" t="s">
        <v>36</v>
      </c>
      <c r="B285" s="433"/>
      <c r="C285" s="433"/>
      <c r="D285" s="433"/>
      <c r="E285" s="433"/>
      <c r="F285" s="118"/>
      <c r="G285" s="112">
        <f>SUM(G278:G284)</f>
        <v>14772.588</v>
      </c>
      <c r="H285" s="111"/>
      <c r="I285" s="112">
        <f>SUM(I278:I284)</f>
        <v>5399.66</v>
      </c>
      <c r="J285" s="112"/>
      <c r="K285" s="112"/>
      <c r="L285" s="112">
        <f t="shared" ref="L285:N285" si="153">SUM(L278:L284)</f>
        <v>6117.5</v>
      </c>
      <c r="M285" s="112"/>
      <c r="N285" s="112">
        <f t="shared" si="153"/>
        <v>6117.5</v>
      </c>
      <c r="O285" s="112"/>
      <c r="P285" s="112"/>
      <c r="Q285" s="112">
        <f>SUM(Q278:Q284)</f>
        <v>-717.84000000000015</v>
      </c>
      <c r="R285" s="116"/>
      <c r="S285" s="117"/>
      <c r="T285" s="117"/>
    </row>
    <row r="286" spans="1:20" s="60" customFormat="1" ht="15.75">
      <c r="A286" s="438" t="s">
        <v>37</v>
      </c>
      <c r="B286" s="439"/>
      <c r="C286" s="439"/>
      <c r="D286" s="439"/>
      <c r="E286" s="439"/>
      <c r="F286" s="439"/>
      <c r="G286" s="439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  <c r="T286" s="440"/>
    </row>
    <row r="287" spans="1:20" s="60" customFormat="1" ht="47.25">
      <c r="A287" s="64" t="s">
        <v>153</v>
      </c>
      <c r="B287" s="379" t="s">
        <v>380</v>
      </c>
      <c r="C287" s="63" t="s">
        <v>88</v>
      </c>
      <c r="D287" s="217" t="s">
        <v>77</v>
      </c>
      <c r="E287" s="380">
        <v>121</v>
      </c>
      <c r="F287" s="381">
        <v>9</v>
      </c>
      <c r="G287" s="382">
        <f>E287*F287</f>
        <v>1089</v>
      </c>
      <c r="H287" s="381">
        <v>9</v>
      </c>
      <c r="I287" s="382">
        <v>1089</v>
      </c>
      <c r="J287" s="161"/>
      <c r="K287" s="162"/>
      <c r="L287" s="163"/>
      <c r="M287" s="162"/>
      <c r="N287" s="163"/>
      <c r="O287" s="125"/>
      <c r="P287" s="89">
        <f t="shared" ref="P287:P289" si="154">H287-K287</f>
        <v>9</v>
      </c>
      <c r="Q287" s="86">
        <f t="shared" ref="Q287:Q289" si="155">I287-L287</f>
        <v>1089</v>
      </c>
      <c r="R287" s="227">
        <f t="shared" ref="R287:R289" si="156">(J287-E287)/E287</f>
        <v>-1</v>
      </c>
      <c r="S287" s="237"/>
      <c r="T287" s="62"/>
    </row>
    <row r="288" spans="1:20" s="60" customFormat="1" ht="47.25">
      <c r="A288" s="64" t="s">
        <v>154</v>
      </c>
      <c r="B288" s="379" t="s">
        <v>381</v>
      </c>
      <c r="C288" s="63" t="s">
        <v>88</v>
      </c>
      <c r="D288" s="217" t="s">
        <v>77</v>
      </c>
      <c r="E288" s="380">
        <v>52</v>
      </c>
      <c r="F288" s="381">
        <v>1</v>
      </c>
      <c r="G288" s="382">
        <f>E288*F288</f>
        <v>52</v>
      </c>
      <c r="H288" s="381">
        <v>1</v>
      </c>
      <c r="I288" s="382">
        <v>52</v>
      </c>
      <c r="J288" s="161"/>
      <c r="K288" s="162"/>
      <c r="L288" s="163"/>
      <c r="M288" s="162">
        <v>1</v>
      </c>
      <c r="N288" s="163">
        <v>51.9</v>
      </c>
      <c r="O288" s="130" t="s">
        <v>386</v>
      </c>
      <c r="P288" s="89">
        <f t="shared" si="154"/>
        <v>1</v>
      </c>
      <c r="Q288" s="86">
        <f t="shared" si="155"/>
        <v>52</v>
      </c>
      <c r="R288" s="227">
        <f t="shared" si="156"/>
        <v>-1</v>
      </c>
      <c r="S288" s="237"/>
      <c r="T288" s="62"/>
    </row>
    <row r="289" spans="1:20" s="60" customFormat="1" ht="31.5">
      <c r="A289" s="64" t="s">
        <v>155</v>
      </c>
      <c r="B289" s="379" t="s">
        <v>390</v>
      </c>
      <c r="C289" s="63" t="s">
        <v>88</v>
      </c>
      <c r="D289" s="217" t="s">
        <v>77</v>
      </c>
      <c r="E289" s="380">
        <v>8.33</v>
      </c>
      <c r="F289" s="381">
        <v>39</v>
      </c>
      <c r="G289" s="382">
        <f>E289*F289</f>
        <v>324.87</v>
      </c>
      <c r="H289" s="381">
        <v>39</v>
      </c>
      <c r="I289" s="382">
        <v>324.87</v>
      </c>
      <c r="J289" s="161"/>
      <c r="K289" s="162"/>
      <c r="L289" s="163"/>
      <c r="M289" s="240"/>
      <c r="N289" s="162"/>
      <c r="O289" s="125"/>
      <c r="P289" s="89">
        <f t="shared" si="154"/>
        <v>39</v>
      </c>
      <c r="Q289" s="86">
        <f t="shared" si="155"/>
        <v>324.87</v>
      </c>
      <c r="R289" s="227">
        <f t="shared" si="156"/>
        <v>-1</v>
      </c>
      <c r="S289" s="237"/>
      <c r="T289" s="62"/>
    </row>
    <row r="290" spans="1:20" s="60" customFormat="1" ht="15.75">
      <c r="A290" s="433" t="s">
        <v>38</v>
      </c>
      <c r="B290" s="433"/>
      <c r="C290" s="433"/>
      <c r="D290" s="433"/>
      <c r="E290" s="433"/>
      <c r="F290" s="118"/>
      <c r="G290" s="112">
        <f>SUM(G287:G289)</f>
        <v>1465.87</v>
      </c>
      <c r="H290" s="111"/>
      <c r="I290" s="112">
        <f>SUM(I287:I289)</f>
        <v>1465.87</v>
      </c>
      <c r="J290" s="112"/>
      <c r="K290" s="112"/>
      <c r="L290" s="112">
        <f>SUM(L287:L289)</f>
        <v>0</v>
      </c>
      <c r="M290" s="111"/>
      <c r="N290" s="112">
        <f>SUM(N287:N289)</f>
        <v>51.9</v>
      </c>
      <c r="O290" s="111"/>
      <c r="P290" s="116"/>
      <c r="Q290" s="114">
        <f>I290-L290</f>
        <v>1465.87</v>
      </c>
      <c r="R290" s="116"/>
      <c r="S290" s="117"/>
      <c r="T290" s="117"/>
    </row>
    <row r="291" spans="1:20" s="60" customFormat="1" ht="18.75">
      <c r="A291" s="447" t="s">
        <v>62</v>
      </c>
      <c r="B291" s="447"/>
      <c r="C291" s="447"/>
      <c r="D291" s="447"/>
      <c r="E291" s="447"/>
      <c r="F291" s="128"/>
      <c r="G291" s="119">
        <f>G290+G285+G275+G265+G249+G245+G222</f>
        <v>233789.99869899999</v>
      </c>
      <c r="H291" s="119"/>
      <c r="I291" s="119">
        <f>I290+I285+I275+I265+I249+I245+I222</f>
        <v>46758.000897999998</v>
      </c>
      <c r="J291" s="119"/>
      <c r="K291" s="119"/>
      <c r="L291" s="119">
        <f>L290+L285+L275+L265+L249+L245+L222</f>
        <v>69379.055684999999</v>
      </c>
      <c r="M291" s="119"/>
      <c r="N291" s="119">
        <f>N290+N285+N275+N265+N249+N245+N222</f>
        <v>28805.170078333336</v>
      </c>
      <c r="O291" s="126"/>
      <c r="P291" s="129"/>
      <c r="Q291" s="120">
        <f>I291-L291</f>
        <v>-22621.054787000001</v>
      </c>
      <c r="R291" s="116"/>
      <c r="S291" s="117"/>
      <c r="T291" s="117"/>
    </row>
    <row r="292" spans="1:20" s="60" customFormat="1">
      <c r="A292" s="72"/>
      <c r="B292" s="72"/>
      <c r="C292" s="72"/>
      <c r="D292" s="72"/>
      <c r="E292" s="72"/>
      <c r="F292" s="73"/>
      <c r="G292" s="74"/>
      <c r="H292" s="74"/>
      <c r="I292" s="74"/>
      <c r="J292" s="74"/>
      <c r="K292" s="74"/>
      <c r="L292" s="74"/>
      <c r="M292" s="74"/>
      <c r="N292" s="74"/>
      <c r="O292" s="74"/>
      <c r="P292" s="75"/>
      <c r="Q292" s="75"/>
      <c r="R292" s="75"/>
      <c r="S292" s="76"/>
      <c r="T292" s="76"/>
    </row>
    <row r="293" spans="1:20">
      <c r="L293" s="239"/>
      <c r="S293" s="58"/>
    </row>
    <row r="294" spans="1:20" s="81" customFormat="1" ht="15.75">
      <c r="A294" s="45"/>
      <c r="B294" s="77" t="s">
        <v>50</v>
      </c>
      <c r="C294" s="78"/>
      <c r="D294" s="78"/>
      <c r="E294" s="78"/>
      <c r="F294" s="78"/>
      <c r="G294" s="78"/>
      <c r="H294" s="78"/>
      <c r="I294" s="78"/>
      <c r="J294" s="123" t="s">
        <v>162</v>
      </c>
      <c r="K294" s="79"/>
      <c r="L294" s="79"/>
      <c r="M294" s="78"/>
      <c r="N294" s="78"/>
      <c r="O294" s="80"/>
      <c r="P294" s="80"/>
      <c r="Q294" s="80"/>
      <c r="R294" s="80"/>
      <c r="S294" s="187"/>
      <c r="T294" s="80"/>
    </row>
    <row r="295" spans="1:20" s="81" customFormat="1" ht="15.75">
      <c r="A295" s="49"/>
      <c r="B295" s="82" t="s">
        <v>51</v>
      </c>
      <c r="C295" s="78"/>
      <c r="D295" s="78"/>
      <c r="E295" s="78"/>
      <c r="F295" s="78"/>
      <c r="G295" s="78"/>
      <c r="H295" s="78"/>
      <c r="I295" s="78"/>
      <c r="J295" s="79" t="s">
        <v>18</v>
      </c>
      <c r="K295" s="79"/>
      <c r="L295" s="290"/>
      <c r="M295" s="78"/>
      <c r="N295" s="78"/>
      <c r="O295" s="80"/>
      <c r="P295" s="80"/>
      <c r="Q295" s="80"/>
      <c r="R295" s="80"/>
      <c r="S295" s="187"/>
      <c r="T295" s="80"/>
    </row>
    <row r="296" spans="1:20" s="81" customFormat="1" ht="15.75">
      <c r="A296" s="78"/>
      <c r="B296" s="82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164"/>
      <c r="P296" s="80"/>
      <c r="Q296" s="80"/>
      <c r="R296" s="80"/>
      <c r="S296" s="187"/>
      <c r="T296" s="80"/>
    </row>
    <row r="297" spans="1:20" s="81" customFormat="1" ht="15.75">
      <c r="A297" s="78"/>
      <c r="B297" s="165" t="s">
        <v>389</v>
      </c>
      <c r="C297" s="78"/>
      <c r="D297" s="80"/>
      <c r="E297" s="83"/>
      <c r="F297" s="445" t="s">
        <v>52</v>
      </c>
      <c r="G297" s="445"/>
      <c r="H297" s="78"/>
      <c r="I297" s="78"/>
      <c r="J297" s="78"/>
      <c r="K297" s="78"/>
      <c r="L297" s="78"/>
      <c r="M297" s="78"/>
      <c r="N297" s="78"/>
      <c r="O297" s="80"/>
      <c r="P297" s="80"/>
      <c r="Q297" s="80"/>
      <c r="R297" s="80"/>
      <c r="S297" s="187"/>
      <c r="T297" s="80"/>
    </row>
    <row r="298" spans="1:20" s="85" customFormat="1" ht="12.75">
      <c r="A298" s="37"/>
      <c r="B298" s="37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S298" s="184"/>
    </row>
    <row r="300" spans="1:20" ht="15.75">
      <c r="A300" s="446"/>
      <c r="B300" s="446"/>
      <c r="C300" s="446"/>
      <c r="D300" s="446"/>
      <c r="E300" s="446"/>
      <c r="F300" s="446"/>
      <c r="G300" s="446"/>
      <c r="H300" s="446"/>
      <c r="I300" s="446"/>
      <c r="J300" s="446"/>
      <c r="K300" s="446"/>
      <c r="L300" s="446"/>
      <c r="M300" s="446"/>
    </row>
  </sheetData>
  <mergeCells count="58">
    <mergeCell ref="F297:G297"/>
    <mergeCell ref="A300:M300"/>
    <mergeCell ref="A285:E285"/>
    <mergeCell ref="A286:T286"/>
    <mergeCell ref="A290:E290"/>
    <mergeCell ref="A291:E291"/>
    <mergeCell ref="A246:T246"/>
    <mergeCell ref="A277:B277"/>
    <mergeCell ref="A250:T250"/>
    <mergeCell ref="A251:B251"/>
    <mergeCell ref="A255:B255"/>
    <mergeCell ref="A256:B256"/>
    <mergeCell ref="A261:B261"/>
    <mergeCell ref="A262:B262"/>
    <mergeCell ref="A264:B264"/>
    <mergeCell ref="A265:E265"/>
    <mergeCell ref="A266:T266"/>
    <mergeCell ref="A275:E275"/>
    <mergeCell ref="A276:T276"/>
    <mergeCell ref="A249:E249"/>
    <mergeCell ref="A245:E245"/>
    <mergeCell ref="G4:G5"/>
    <mergeCell ref="A7:T7"/>
    <mergeCell ref="A222:E222"/>
    <mergeCell ref="A223:T223"/>
    <mergeCell ref="J4:J5"/>
    <mergeCell ref="R2:R5"/>
    <mergeCell ref="S2:S5"/>
    <mergeCell ref="A233:E233"/>
    <mergeCell ref="A236:B236"/>
    <mergeCell ref="A232:B232"/>
    <mergeCell ref="Q4:Q5"/>
    <mergeCell ref="E4:E5"/>
    <mergeCell ref="F4:F5"/>
    <mergeCell ref="A240:E240"/>
    <mergeCell ref="A244:B244"/>
    <mergeCell ref="A239:B239"/>
    <mergeCell ref="A1:T1"/>
    <mergeCell ref="A2:A5"/>
    <mergeCell ref="B2:B5"/>
    <mergeCell ref="C2:C5"/>
    <mergeCell ref="D2:G3"/>
    <mergeCell ref="H2:I3"/>
    <mergeCell ref="J2:N2"/>
    <mergeCell ref="O2:O5"/>
    <mergeCell ref="P2:Q3"/>
    <mergeCell ref="J3:L3"/>
    <mergeCell ref="M3:N3"/>
    <mergeCell ref="T2:T5"/>
    <mergeCell ref="I4:I5"/>
    <mergeCell ref="D4:D5"/>
    <mergeCell ref="N4:N5"/>
    <mergeCell ref="P4:P5"/>
    <mergeCell ref="K4:K5"/>
    <mergeCell ref="L4:L5"/>
    <mergeCell ref="M4:M5"/>
    <mergeCell ref="A237:E237"/>
    <mergeCell ref="H4:H5"/>
  </mergeCells>
  <pageMargins left="0.43307086614173229" right="0.19685039370078741" top="0.31496062992125984" bottom="0.35433070866141736" header="0.23622047244094491" footer="0.27559055118110237"/>
  <pageSetup paperSize="9" scale="42" orientation="landscape" r:id="rId1"/>
  <headerFooter alignWithMargins="0"/>
  <rowBreaks count="4" manualBreakCount="4">
    <brk id="190" max="19" man="1"/>
    <brk id="227" max="19" man="1"/>
    <brk id="275" max="19" man="1"/>
    <brk id="300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Загальна інформація</vt:lpstr>
      <vt:lpstr>1. Зведений звіт</vt:lpstr>
      <vt:lpstr>2. Детальний звіт</vt:lpstr>
      <vt:lpstr>'1. Зведений звіт'!Область_печати</vt:lpstr>
      <vt:lpstr>'2. Детальний звіт'!Область_печати</vt:lpstr>
      <vt:lpstr>'Загальна інформація'!Область_печати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 Pavliv</dc:creator>
  <cp:lastModifiedBy>Volodymyr Yanchuk</cp:lastModifiedBy>
  <cp:lastPrinted>2021-04-19T07:53:15Z</cp:lastPrinted>
  <dcterms:created xsi:type="dcterms:W3CDTF">1996-10-08T23:32:33Z</dcterms:created>
  <dcterms:modified xsi:type="dcterms:W3CDTF">2021-07-19T05:19:58Z</dcterms:modified>
</cp:coreProperties>
</file>