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420" yWindow="285" windowWidth="9060" windowHeight="4065" tabRatio="904" firstSheet="22" activeTab="23"/>
  </bookViews>
  <sheets>
    <sheet name="Титульна сторінка" sheetId="47" r:id="rId1"/>
    <sheet name="1. Незавершене будівництво" sheetId="30" r:id="rId2"/>
    <sheet name="2. Джерела фінансування" sheetId="53" r:id="rId3"/>
    <sheet name="3. План інвестицій" sheetId="28" r:id="rId4"/>
    <sheet name="4. Технічний стан" sheetId="15" r:id="rId5"/>
    <sheet name="4.1. Характеристика мереж" sheetId="16" r:id="rId6"/>
    <sheet name="4.2. Облік" sheetId="34" r:id="rId7"/>
    <sheet name="4.2.1. Облік промспоживачів" sheetId="18" r:id="rId8"/>
    <sheet name="4.2.2. Облік промспоживачів" sheetId="19" r:id="rId9"/>
    <sheet name="4.2.3. Облік населення" sheetId="20" r:id="rId10"/>
    <sheet name="4.2.4. Облік населення" sheetId="21" r:id="rId11"/>
    <sheet name="4.3. Стан комерційного обліку" sheetId="46" r:id="rId12"/>
    <sheet name="4.3.1. Техн стан вимір Т" sheetId="45" r:id="rId13"/>
    <sheet name="4.4. Технічний облік" sheetId="23" r:id="rId14"/>
    <sheet name="4.5. Стан комп'ютерної техніки" sheetId="35" r:id="rId15"/>
    <sheet name="4.6. Стан транспорту" sheetId="44" r:id="rId16"/>
    <sheet name="4.6.1." sheetId="55" r:id="rId17"/>
    <sheet name="4.6.2 " sheetId="56" r:id="rId18"/>
    <sheet name="4.7. Витрати" sheetId="37" r:id="rId19"/>
    <sheet name="4.8. Характеристика за 5 років" sheetId="29" r:id="rId20"/>
    <sheet name="5. Загальний опис робіт" sheetId="1" r:id="rId21"/>
    <sheet name="5.1. Електричні мережі" sheetId="36" r:id="rId22"/>
    <sheet name="5.1.1. Обсяги робіт" sheetId="51" r:id="rId23"/>
    <sheet name="5.2. Зниження понаднорматива" sheetId="3" r:id="rId24"/>
    <sheet name="5.3. АСДТК" sheetId="5" r:id="rId25"/>
    <sheet name="5.3.1" sheetId="49" r:id="rId26"/>
    <sheet name="5.4. Інформаційні технології" sheetId="6" r:id="rId27"/>
    <sheet name="5.5. Зв'язок" sheetId="7" r:id="rId28"/>
    <sheet name="5.5.1" sheetId="48" r:id="rId29"/>
    <sheet name="5.6. Транспорт" sheetId="31" r:id="rId30"/>
    <sheet name="5.7. Інше" sheetId="9" r:id="rId31"/>
    <sheet name="6. Проведення закупівлі" sheetId="52" r:id="rId32"/>
    <sheet name="7. Інновації" sheetId="39" r:id="rId33"/>
  </sheets>
  <externalReferences>
    <externalReference r:id="rId34"/>
  </externalReferences>
  <definedNames>
    <definedName name="_xlnm.Print_Area" localSheetId="2">'2. Джерела фінансування'!$A$1:$L$28</definedName>
    <definedName name="_xlnm.Print_Area" localSheetId="3">'3. План інвестицій'!$A$1:$F$13</definedName>
    <definedName name="_xlnm.Print_Area" localSheetId="4">'4. Технічний стан'!$A$1:$F$70</definedName>
    <definedName name="_xlnm.Print_Area" localSheetId="6">'4.2. Облік'!$A$1:$AR$44</definedName>
    <definedName name="_xlnm.Print_Area" localSheetId="14">'4.5. Стан комп''ютерної техніки'!$A$1:$D$13</definedName>
    <definedName name="_xlnm.Print_Area" localSheetId="15">'4.6. Стан транспорту'!$A$1:$G$73</definedName>
    <definedName name="_xlnm.Print_Area" localSheetId="19">'4.8. Характеристика за 5 років'!$A$1:$G$55</definedName>
    <definedName name="_xlnm.Print_Area" localSheetId="22">'5.1.1. Обсяги робіт'!$A$1:$J$177</definedName>
    <definedName name="_xlnm.Print_Area" localSheetId="26">'5.4. Інформаційні технології'!$A$1:$J$48</definedName>
    <definedName name="_xlnm.Print_Area" localSheetId="31">'6. Проведення закупівлі'!$A$1:$S$73</definedName>
    <definedName name="_xlnm.Print_Area" localSheetId="0">'Титульна сторінка'!$A$1:$G$26</definedName>
  </definedNames>
  <calcPr calcId="125725"/>
</workbook>
</file>

<file path=xl/calcChain.xml><?xml version="1.0" encoding="utf-8"?>
<calcChain xmlns="http://schemas.openxmlformats.org/spreadsheetml/2006/main">
  <c r="D168" i="51"/>
  <c r="N28" i="36"/>
  <c r="M28"/>
  <c r="M29"/>
  <c r="L28"/>
  <c r="K28"/>
  <c r="I12" i="56"/>
  <c r="J12" s="1"/>
  <c r="J11"/>
  <c r="I11"/>
  <c r="J10"/>
  <c r="I10"/>
  <c r="J9"/>
  <c r="I9"/>
  <c r="I8"/>
  <c r="J8" s="1"/>
  <c r="F20" i="52"/>
  <c r="N20" s="1"/>
  <c r="L23"/>
  <c r="F11"/>
  <c r="E11"/>
  <c r="D11"/>
  <c r="J11" s="1"/>
  <c r="F12"/>
  <c r="E12"/>
  <c r="D12"/>
  <c r="J12" s="1"/>
  <c r="H12"/>
  <c r="N35"/>
  <c r="L35"/>
  <c r="N34"/>
  <c r="L34"/>
  <c r="N31"/>
  <c r="L31"/>
  <c r="N30"/>
  <c r="L30"/>
  <c r="F22"/>
  <c r="D22"/>
  <c r="F21"/>
  <c r="D21"/>
  <c r="E18"/>
  <c r="F18"/>
  <c r="D18" s="1"/>
  <c r="E17"/>
  <c r="F17"/>
  <c r="D17"/>
  <c r="E20"/>
  <c r="E82" i="51"/>
  <c r="E99"/>
  <c r="E15" i="52" s="1"/>
  <c r="E109" i="51"/>
  <c r="E112"/>
  <c r="E117"/>
  <c r="F117"/>
  <c r="E10" i="52"/>
  <c r="E24" i="51"/>
  <c r="F24"/>
  <c r="F10" i="52" s="1"/>
  <c r="F82" i="51"/>
  <c r="F114"/>
  <c r="F29" i="36" s="1"/>
  <c r="F167" i="51"/>
  <c r="F35" i="36" s="1"/>
  <c r="D119" i="51"/>
  <c r="D118"/>
  <c r="D111"/>
  <c r="D104"/>
  <c r="D103"/>
  <c r="D95"/>
  <c r="D94"/>
  <c r="D93"/>
  <c r="D65"/>
  <c r="D64"/>
  <c r="D63"/>
  <c r="D62"/>
  <c r="D61"/>
  <c r="D60"/>
  <c r="D59"/>
  <c r="D58"/>
  <c r="D57"/>
  <c r="D38" i="52"/>
  <c r="N13"/>
  <c r="N23" s="1"/>
  <c r="N64" s="1"/>
  <c r="N22" i="36"/>
  <c r="M22"/>
  <c r="L22"/>
  <c r="K22"/>
  <c r="E45" i="6"/>
  <c r="E36"/>
  <c r="E9" i="1"/>
  <c r="N63" i="52"/>
  <c r="L63"/>
  <c r="J63"/>
  <c r="H63"/>
  <c r="F62"/>
  <c r="F63" s="1"/>
  <c r="E13" i="1" s="1"/>
  <c r="N60" i="52"/>
  <c r="L60"/>
  <c r="G59"/>
  <c r="F59"/>
  <c r="H59" s="1"/>
  <c r="H60" s="1"/>
  <c r="I58"/>
  <c r="F58"/>
  <c r="F60" s="1"/>
  <c r="E12" i="1" s="1"/>
  <c r="N56" i="52"/>
  <c r="L56"/>
  <c r="J56"/>
  <c r="H56"/>
  <c r="F55"/>
  <c r="F56"/>
  <c r="E11" i="1" s="1"/>
  <c r="N52" i="52"/>
  <c r="L52"/>
  <c r="J52"/>
  <c r="F52"/>
  <c r="H51"/>
  <c r="D51"/>
  <c r="H49"/>
  <c r="H52" s="1"/>
  <c r="H53" s="1"/>
  <c r="G49"/>
  <c r="N47"/>
  <c r="N53"/>
  <c r="L47"/>
  <c r="L53"/>
  <c r="J47"/>
  <c r="J53"/>
  <c r="H47"/>
  <c r="F47"/>
  <c r="F53" s="1"/>
  <c r="E10" i="1" s="1"/>
  <c r="D46" i="52"/>
  <c r="D45"/>
  <c r="N39"/>
  <c r="J39"/>
  <c r="H39"/>
  <c r="F39"/>
  <c r="F18" i="3" s="1"/>
  <c r="L38" i="52"/>
  <c r="L39" s="1"/>
  <c r="F36"/>
  <c r="F17" i="3" s="1"/>
  <c r="F32" i="52"/>
  <c r="F16" i="3" s="1"/>
  <c r="F28" i="52"/>
  <c r="N27"/>
  <c r="L26"/>
  <c r="D20"/>
  <c r="F21" i="7"/>
  <c r="F40" i="52"/>
  <c r="E8" i="1"/>
  <c r="F15" i="3"/>
  <c r="E12" i="6"/>
  <c r="E10" i="31"/>
  <c r="E8" i="9"/>
  <c r="E11" i="31"/>
  <c r="J26" i="52"/>
  <c r="N26"/>
  <c r="N28"/>
  <c r="H27"/>
  <c r="L27"/>
  <c r="L28" s="1"/>
  <c r="L40" s="1"/>
  <c r="L64" s="1"/>
  <c r="H30"/>
  <c r="L32"/>
  <c r="J31"/>
  <c r="N32"/>
  <c r="J34"/>
  <c r="J36" s="1"/>
  <c r="J40" s="1"/>
  <c r="N36"/>
  <c r="H35"/>
  <c r="L36"/>
  <c r="H26"/>
  <c r="H28" s="1"/>
  <c r="J27"/>
  <c r="J30"/>
  <c r="J32"/>
  <c r="H31"/>
  <c r="H34"/>
  <c r="H36" s="1"/>
  <c r="J35"/>
  <c r="J58"/>
  <c r="J60"/>
  <c r="H32"/>
  <c r="J28"/>
  <c r="N40"/>
  <c r="F164" i="51"/>
  <c r="D164" s="1"/>
  <c r="D163"/>
  <c r="D162"/>
  <c r="D161"/>
  <c r="F160"/>
  <c r="D160"/>
  <c r="D159"/>
  <c r="F158"/>
  <c r="D158" s="1"/>
  <c r="D157"/>
  <c r="D156"/>
  <c r="D155"/>
  <c r="D154"/>
  <c r="D153"/>
  <c r="D152"/>
  <c r="D151"/>
  <c r="F150"/>
  <c r="D150"/>
  <c r="D149"/>
  <c r="D148"/>
  <c r="D147"/>
  <c r="D146"/>
  <c r="D145"/>
  <c r="D144"/>
  <c r="D143"/>
  <c r="D142"/>
  <c r="F141"/>
  <c r="D141"/>
  <c r="D140"/>
  <c r="D139"/>
  <c r="F138"/>
  <c r="D138"/>
  <c r="D137"/>
  <c r="D136"/>
  <c r="F135"/>
  <c r="D135"/>
  <c r="D134"/>
  <c r="F133"/>
  <c r="D133" s="1"/>
  <c r="D132"/>
  <c r="D131"/>
  <c r="D130"/>
  <c r="F129"/>
  <c r="D129"/>
  <c r="D128"/>
  <c r="D127"/>
  <c r="F126"/>
  <c r="D126"/>
  <c r="D125"/>
  <c r="D124"/>
  <c r="F123"/>
  <c r="D123"/>
  <c r="D122"/>
  <c r="F121"/>
  <c r="F120" s="1"/>
  <c r="F13" i="52" s="1"/>
  <c r="D13" s="1"/>
  <c r="E121" i="51"/>
  <c r="E13" i="52" s="1"/>
  <c r="F113" i="51"/>
  <c r="F19" i="52" s="1"/>
  <c r="F110" i="51"/>
  <c r="F16" i="52" s="1"/>
  <c r="D16" s="1"/>
  <c r="H16" s="1"/>
  <c r="D110" i="51"/>
  <c r="D105"/>
  <c r="F102"/>
  <c r="D102"/>
  <c r="F101"/>
  <c r="D101"/>
  <c r="F100"/>
  <c r="F99" s="1"/>
  <c r="D100"/>
  <c r="D92"/>
  <c r="D91"/>
  <c r="D90"/>
  <c r="D89"/>
  <c r="D88"/>
  <c r="D87"/>
  <c r="D86"/>
  <c r="D85"/>
  <c r="D84"/>
  <c r="D83"/>
  <c r="E79"/>
  <c r="E14" i="52" s="1"/>
  <c r="D68" i="51"/>
  <c r="D67"/>
  <c r="D56"/>
  <c r="D55"/>
  <c r="D54"/>
  <c r="D53"/>
  <c r="D52"/>
  <c r="D51"/>
  <c r="D50"/>
  <c r="D49"/>
  <c r="D48"/>
  <c r="D47"/>
  <c r="D46"/>
  <c r="D45"/>
  <c r="D44"/>
  <c r="D43"/>
  <c r="D42"/>
  <c r="D41"/>
  <c r="D40"/>
  <c r="D39"/>
  <c r="D38"/>
  <c r="D37"/>
  <c r="D36"/>
  <c r="D35"/>
  <c r="D34"/>
  <c r="D33"/>
  <c r="D32"/>
  <c r="D31"/>
  <c r="D30"/>
  <c r="D29"/>
  <c r="D28"/>
  <c r="D27"/>
  <c r="D26"/>
  <c r="D25"/>
  <c r="F17"/>
  <c r="F16" s="1"/>
  <c r="D113"/>
  <c r="F112"/>
  <c r="F20" i="36"/>
  <c r="F26"/>
  <c r="F14"/>
  <c r="E96" i="51"/>
  <c r="F32" i="36"/>
  <c r="F79" i="51"/>
  <c r="F14" i="52" s="1"/>
  <c r="D82" i="51"/>
  <c r="F21"/>
  <c r="D24"/>
  <c r="H24" i="6"/>
  <c r="I24"/>
  <c r="J24"/>
  <c r="G24"/>
  <c r="E24"/>
  <c r="D22" i="48"/>
  <c r="J11" i="7"/>
  <c r="K11"/>
  <c r="L11"/>
  <c r="I11"/>
  <c r="F11"/>
  <c r="F5" i="48"/>
  <c r="E5"/>
  <c r="H21"/>
  <c r="F21"/>
  <c r="E21"/>
  <c r="E28" i="6"/>
  <c r="C32"/>
  <c r="F32"/>
  <c r="L17" i="7"/>
  <c r="K17"/>
  <c r="J17"/>
  <c r="I17"/>
  <c r="F17"/>
  <c r="C39" i="6"/>
  <c r="H15" i="48"/>
  <c r="E44" i="6"/>
  <c r="C44"/>
  <c r="C45"/>
  <c r="F45"/>
  <c r="E18" i="5"/>
  <c r="D45" i="6"/>
  <c r="F44"/>
  <c r="K12" i="36"/>
  <c r="K13"/>
  <c r="L13"/>
  <c r="K18"/>
  <c r="K25"/>
  <c r="K32"/>
  <c r="L12"/>
  <c r="M12" s="1"/>
  <c r="N12" s="1"/>
  <c r="L18"/>
  <c r="M18" s="1"/>
  <c r="H8" i="48"/>
  <c r="H23" s="1"/>
  <c r="H9"/>
  <c r="H10"/>
  <c r="H11"/>
  <c r="H12"/>
  <c r="H13"/>
  <c r="F15"/>
  <c r="E15"/>
  <c r="H24"/>
  <c r="G24"/>
  <c r="F24"/>
  <c r="E24"/>
  <c r="D24"/>
  <c r="G23"/>
  <c r="F23"/>
  <c r="E23"/>
  <c r="D23"/>
  <c r="H22"/>
  <c r="G22"/>
  <c r="F22"/>
  <c r="E22"/>
  <c r="L13" i="7"/>
  <c r="L7"/>
  <c r="L20"/>
  <c r="K8"/>
  <c r="K13"/>
  <c r="K20"/>
  <c r="J8"/>
  <c r="J13"/>
  <c r="J20"/>
  <c r="I13"/>
  <c r="I20"/>
  <c r="F8"/>
  <c r="G10" s="1"/>
  <c r="D9"/>
  <c r="D10"/>
  <c r="D12"/>
  <c r="D11" s="1"/>
  <c r="D15"/>
  <c r="D16"/>
  <c r="D18"/>
  <c r="D19"/>
  <c r="G9"/>
  <c r="G44" i="16"/>
  <c r="D22"/>
  <c r="C30" i="18"/>
  <c r="D41" i="34"/>
  <c r="D42"/>
  <c r="D43"/>
  <c r="Y41"/>
  <c r="Y42"/>
  <c r="Y43" s="1"/>
  <c r="AI41"/>
  <c r="AI42"/>
  <c r="AI43"/>
  <c r="AJ41"/>
  <c r="AJ42"/>
  <c r="AJ43" s="1"/>
  <c r="AK41"/>
  <c r="AK42"/>
  <c r="AK43"/>
  <c r="AL41"/>
  <c r="AL42"/>
  <c r="AL43" s="1"/>
  <c r="AM41"/>
  <c r="AM42"/>
  <c r="AM43"/>
  <c r="AD41"/>
  <c r="AD42"/>
  <c r="AD43" s="1"/>
  <c r="AE41"/>
  <c r="AE42"/>
  <c r="AE43"/>
  <c r="AF41"/>
  <c r="AF42"/>
  <c r="AF43" s="1"/>
  <c r="AG41"/>
  <c r="AG42"/>
  <c r="AG43"/>
  <c r="Z41"/>
  <c r="Z42"/>
  <c r="Z43" s="1"/>
  <c r="AA41"/>
  <c r="AA42"/>
  <c r="AA43"/>
  <c r="AB41"/>
  <c r="AB42"/>
  <c r="AB43"/>
  <c r="I41"/>
  <c r="I42"/>
  <c r="I43"/>
  <c r="J41"/>
  <c r="J42"/>
  <c r="J43"/>
  <c r="V43"/>
  <c r="O11"/>
  <c r="O21"/>
  <c r="O31"/>
  <c r="Q41"/>
  <c r="O12"/>
  <c r="O22"/>
  <c r="O32"/>
  <c r="Q42"/>
  <c r="Q43" s="1"/>
  <c r="R41"/>
  <c r="R42"/>
  <c r="R43"/>
  <c r="S41"/>
  <c r="S42"/>
  <c r="S43" s="1"/>
  <c r="L11"/>
  <c r="L21"/>
  <c r="L31"/>
  <c r="N41" s="1"/>
  <c r="L12"/>
  <c r="L22"/>
  <c r="L32"/>
  <c r="N42" s="1"/>
  <c r="T42" s="1"/>
  <c r="M41"/>
  <c r="M42"/>
  <c r="M43"/>
  <c r="L41"/>
  <c r="L42"/>
  <c r="L43" s="1"/>
  <c r="P41"/>
  <c r="P42"/>
  <c r="P43"/>
  <c r="O41"/>
  <c r="O42"/>
  <c r="O43" s="1"/>
  <c r="K41"/>
  <c r="K42"/>
  <c r="K43"/>
  <c r="F41"/>
  <c r="F42"/>
  <c r="F43" s="1"/>
  <c r="H43" s="1"/>
  <c r="G41"/>
  <c r="G42"/>
  <c r="G43"/>
  <c r="B41"/>
  <c r="B42"/>
  <c r="B43"/>
  <c r="C41"/>
  <c r="C42"/>
  <c r="C43" s="1"/>
  <c r="E43" s="1"/>
  <c r="AO42"/>
  <c r="AN42"/>
  <c r="AH42"/>
  <c r="AC42"/>
  <c r="V42"/>
  <c r="U42"/>
  <c r="H42"/>
  <c r="E42"/>
  <c r="AO41"/>
  <c r="AN41"/>
  <c r="AH41"/>
  <c r="AC41"/>
  <c r="V41"/>
  <c r="U41"/>
  <c r="H41"/>
  <c r="E41"/>
  <c r="D33"/>
  <c r="AO33" s="1"/>
  <c r="Y33"/>
  <c r="AI33"/>
  <c r="AJ33"/>
  <c r="AK33"/>
  <c r="AL33"/>
  <c r="AM33"/>
  <c r="AN33"/>
  <c r="AD33"/>
  <c r="AE33"/>
  <c r="AH33" s="1"/>
  <c r="AF33"/>
  <c r="AG33"/>
  <c r="Z33"/>
  <c r="AC33" s="1"/>
  <c r="AA33"/>
  <c r="AB33"/>
  <c r="O33"/>
  <c r="U33" s="1"/>
  <c r="P33"/>
  <c r="Q33"/>
  <c r="N33"/>
  <c r="M33"/>
  <c r="L33" s="1"/>
  <c r="K33"/>
  <c r="J33"/>
  <c r="I33"/>
  <c r="F33"/>
  <c r="G33"/>
  <c r="H33" s="1"/>
  <c r="B33"/>
  <c r="C33"/>
  <c r="E33"/>
  <c r="AO32"/>
  <c r="AN32"/>
  <c r="AH32"/>
  <c r="AC32"/>
  <c r="U32"/>
  <c r="T32"/>
  <c r="H32"/>
  <c r="E32"/>
  <c r="AO31"/>
  <c r="AN31"/>
  <c r="AH31"/>
  <c r="AC31"/>
  <c r="U31"/>
  <c r="T31"/>
  <c r="H31"/>
  <c r="E31"/>
  <c r="D23"/>
  <c r="Y23"/>
  <c r="AI23"/>
  <c r="AO23"/>
  <c r="AJ23"/>
  <c r="AK23"/>
  <c r="AN23" s="1"/>
  <c r="AL23"/>
  <c r="AM23"/>
  <c r="AD23"/>
  <c r="AE23"/>
  <c r="AF23"/>
  <c r="AG23"/>
  <c r="AH23"/>
  <c r="Z23"/>
  <c r="AA23"/>
  <c r="AB23"/>
  <c r="AC23"/>
  <c r="P23"/>
  <c r="Q23"/>
  <c r="O23" s="1"/>
  <c r="U23" s="1"/>
  <c r="N23"/>
  <c r="M23"/>
  <c r="L23" s="1"/>
  <c r="T23" s="1"/>
  <c r="K23"/>
  <c r="J23"/>
  <c r="I23"/>
  <c r="F23"/>
  <c r="G23"/>
  <c r="H23"/>
  <c r="B23"/>
  <c r="C23"/>
  <c r="E23" s="1"/>
  <c r="AO22"/>
  <c r="AN22"/>
  <c r="AH22"/>
  <c r="AC22"/>
  <c r="U22"/>
  <c r="T22"/>
  <c r="H22"/>
  <c r="E22"/>
  <c r="AO21"/>
  <c r="AN21"/>
  <c r="AH21"/>
  <c r="AC21"/>
  <c r="U21"/>
  <c r="T21"/>
  <c r="H21"/>
  <c r="E21"/>
  <c r="D13"/>
  <c r="AO13" s="1"/>
  <c r="Y13"/>
  <c r="AI13"/>
  <c r="AJ13"/>
  <c r="AK13"/>
  <c r="AL13"/>
  <c r="AM13"/>
  <c r="AN13"/>
  <c r="AD13"/>
  <c r="AE13"/>
  <c r="AH13" s="1"/>
  <c r="AF13"/>
  <c r="AG13"/>
  <c r="Z13"/>
  <c r="AC13" s="1"/>
  <c r="AA13"/>
  <c r="AB13"/>
  <c r="O13"/>
  <c r="U13" s="1"/>
  <c r="P13"/>
  <c r="Q13"/>
  <c r="N13"/>
  <c r="T13" s="1"/>
  <c r="M13"/>
  <c r="L13" s="1"/>
  <c r="K13"/>
  <c r="J13"/>
  <c r="I13"/>
  <c r="F13"/>
  <c r="G13"/>
  <c r="H13" s="1"/>
  <c r="B13"/>
  <c r="C13"/>
  <c r="E13"/>
  <c r="AO12"/>
  <c r="AN12"/>
  <c r="AH12"/>
  <c r="AC12"/>
  <c r="U12"/>
  <c r="T12"/>
  <c r="H12"/>
  <c r="E12"/>
  <c r="AO11"/>
  <c r="AN11"/>
  <c r="AH11"/>
  <c r="AC11"/>
  <c r="U11"/>
  <c r="T11"/>
  <c r="H11"/>
  <c r="E11"/>
  <c r="E24" i="16"/>
  <c r="G113"/>
  <c r="G112"/>
  <c r="G116"/>
  <c r="D112"/>
  <c r="D109" s="1"/>
  <c r="D116"/>
  <c r="G50"/>
  <c r="G19"/>
  <c r="G16"/>
  <c r="G12"/>
  <c r="D30" i="15"/>
  <c r="G135" i="16"/>
  <c r="D135"/>
  <c r="E134"/>
  <c r="H133"/>
  <c r="E133"/>
  <c r="E131"/>
  <c r="G130"/>
  <c r="H134"/>
  <c r="H129"/>
  <c r="E129"/>
  <c r="H127"/>
  <c r="E127"/>
  <c r="G121"/>
  <c r="H125"/>
  <c r="D121"/>
  <c r="E125"/>
  <c r="H120"/>
  <c r="E120"/>
  <c r="H118"/>
  <c r="H114"/>
  <c r="E114"/>
  <c r="E115"/>
  <c r="D104"/>
  <c r="H101"/>
  <c r="E101"/>
  <c r="G99"/>
  <c r="D99"/>
  <c r="E99"/>
  <c r="G95"/>
  <c r="G92"/>
  <c r="D91"/>
  <c r="E103"/>
  <c r="G83"/>
  <c r="H102"/>
  <c r="D83"/>
  <c r="E102"/>
  <c r="G67"/>
  <c r="D67"/>
  <c r="G66"/>
  <c r="H67"/>
  <c r="D66"/>
  <c r="E67"/>
  <c r="G60"/>
  <c r="E60"/>
  <c r="H60"/>
  <c r="G53"/>
  <c r="D53"/>
  <c r="H53"/>
  <c r="D52"/>
  <c r="E53"/>
  <c r="H51"/>
  <c r="E51"/>
  <c r="H49"/>
  <c r="E49"/>
  <c r="H47"/>
  <c r="E47"/>
  <c r="I44"/>
  <c r="F44"/>
  <c r="D44"/>
  <c r="H43"/>
  <c r="G43"/>
  <c r="H44"/>
  <c r="E43"/>
  <c r="D43"/>
  <c r="E50" s="1"/>
  <c r="H40"/>
  <c r="E40"/>
  <c r="H38"/>
  <c r="E38"/>
  <c r="H32"/>
  <c r="G32"/>
  <c r="E32"/>
  <c r="D32"/>
  <c r="H31"/>
  <c r="E31"/>
  <c r="H29"/>
  <c r="E29"/>
  <c r="H27"/>
  <c r="E27"/>
  <c r="H25"/>
  <c r="E25"/>
  <c r="G22"/>
  <c r="H30" s="1"/>
  <c r="E30"/>
  <c r="H21"/>
  <c r="E21"/>
  <c r="H17"/>
  <c r="E17"/>
  <c r="H15"/>
  <c r="E15"/>
  <c r="H13"/>
  <c r="E13"/>
  <c r="H11"/>
  <c r="E11"/>
  <c r="H9"/>
  <c r="E9"/>
  <c r="H7"/>
  <c r="E7"/>
  <c r="G4"/>
  <c r="H16" s="1"/>
  <c r="D4"/>
  <c r="E16" s="1"/>
  <c r="G30" i="18"/>
  <c r="E13" i="19"/>
  <c r="C13"/>
  <c r="F12"/>
  <c r="D12"/>
  <c r="F11"/>
  <c r="D11"/>
  <c r="F10"/>
  <c r="D10"/>
  <c r="F9"/>
  <c r="D9"/>
  <c r="F8"/>
  <c r="D8"/>
  <c r="E13" i="21"/>
  <c r="C13"/>
  <c r="F12"/>
  <c r="D12"/>
  <c r="F11"/>
  <c r="D11"/>
  <c r="F10"/>
  <c r="D10"/>
  <c r="F9"/>
  <c r="D9"/>
  <c r="F8"/>
  <c r="D8"/>
  <c r="L100" i="46"/>
  <c r="M100"/>
  <c r="K100"/>
  <c r="D7" i="45"/>
  <c r="E7"/>
  <c r="F7"/>
  <c r="C7"/>
  <c r="D15"/>
  <c r="E15"/>
  <c r="F15"/>
  <c r="C15"/>
  <c r="C11" i="35"/>
  <c r="D10"/>
  <c r="D9"/>
  <c r="D8"/>
  <c r="D7"/>
  <c r="D6"/>
  <c r="D11" s="1"/>
  <c r="G67" i="44"/>
  <c r="F67"/>
  <c r="E67"/>
  <c r="D67"/>
  <c r="G55"/>
  <c r="F55"/>
  <c r="E55"/>
  <c r="D55"/>
  <c r="G52"/>
  <c r="F52"/>
  <c r="E52"/>
  <c r="D52"/>
  <c r="G49"/>
  <c r="F49"/>
  <c r="E49"/>
  <c r="D49"/>
  <c r="G46"/>
  <c r="F46"/>
  <c r="E46"/>
  <c r="D46"/>
  <c r="G43"/>
  <c r="F43"/>
  <c r="E43"/>
  <c r="D43"/>
  <c r="G37"/>
  <c r="F37"/>
  <c r="E37"/>
  <c r="D37"/>
  <c r="G34"/>
  <c r="F34"/>
  <c r="E34"/>
  <c r="D34"/>
  <c r="G31"/>
  <c r="F31"/>
  <c r="E31"/>
  <c r="D31"/>
  <c r="G28"/>
  <c r="F28"/>
  <c r="E28"/>
  <c r="D28"/>
  <c r="G22"/>
  <c r="F22"/>
  <c r="E22"/>
  <c r="D22"/>
  <c r="G19"/>
  <c r="F19"/>
  <c r="E19"/>
  <c r="D19"/>
  <c r="G16"/>
  <c r="F16"/>
  <c r="E16"/>
  <c r="D16"/>
  <c r="G13"/>
  <c r="F13"/>
  <c r="E13"/>
  <c r="D13"/>
  <c r="G10"/>
  <c r="F10"/>
  <c r="E10"/>
  <c r="D10"/>
  <c r="G7"/>
  <c r="F7"/>
  <c r="E7"/>
  <c r="D7"/>
  <c r="K27" i="37"/>
  <c r="H27"/>
  <c r="E27"/>
  <c r="K26"/>
  <c r="H26"/>
  <c r="E26"/>
  <c r="K25"/>
  <c r="H25"/>
  <c r="E25"/>
  <c r="K24"/>
  <c r="H24"/>
  <c r="E24"/>
  <c r="K23"/>
  <c r="H23"/>
  <c r="E23"/>
  <c r="K22"/>
  <c r="H22"/>
  <c r="E22"/>
  <c r="K21"/>
  <c r="H21"/>
  <c r="E21"/>
  <c r="K20"/>
  <c r="H20"/>
  <c r="E20"/>
  <c r="K15"/>
  <c r="H15"/>
  <c r="E15"/>
  <c r="K14"/>
  <c r="H14"/>
  <c r="E14"/>
  <c r="K13"/>
  <c r="H13"/>
  <c r="E13"/>
  <c r="K12"/>
  <c r="H12"/>
  <c r="E12"/>
  <c r="K11"/>
  <c r="H11"/>
  <c r="E11"/>
  <c r="K10"/>
  <c r="H10"/>
  <c r="E10"/>
  <c r="K9"/>
  <c r="H9"/>
  <c r="E9"/>
  <c r="K8"/>
  <c r="H8"/>
  <c r="E8"/>
  <c r="G48" i="29"/>
  <c r="F48"/>
  <c r="E48"/>
  <c r="D48"/>
  <c r="C48"/>
  <c r="G40"/>
  <c r="F40"/>
  <c r="E40"/>
  <c r="D40"/>
  <c r="C40"/>
  <c r="G32"/>
  <c r="F32"/>
  <c r="E32"/>
  <c r="D32"/>
  <c r="C32"/>
  <c r="G31"/>
  <c r="F31"/>
  <c r="E31"/>
  <c r="D31"/>
  <c r="C31"/>
  <c r="G22"/>
  <c r="F22"/>
  <c r="E22"/>
  <c r="D22"/>
  <c r="C22"/>
  <c r="G17"/>
  <c r="F17"/>
  <c r="E17"/>
  <c r="D17"/>
  <c r="C17"/>
  <c r="G12"/>
  <c r="G11"/>
  <c r="F12"/>
  <c r="E12"/>
  <c r="E11" s="1"/>
  <c r="D12"/>
  <c r="C12"/>
  <c r="C11" s="1"/>
  <c r="F11"/>
  <c r="D11"/>
  <c r="H131" i="16"/>
  <c r="H123"/>
  <c r="H124"/>
  <c r="E123"/>
  <c r="E124"/>
  <c r="G109"/>
  <c r="H117"/>
  <c r="E113"/>
  <c r="E117"/>
  <c r="E118"/>
  <c r="G91"/>
  <c r="E44"/>
  <c r="H46"/>
  <c r="H50"/>
  <c r="H48"/>
  <c r="E46"/>
  <c r="E48"/>
  <c r="H24"/>
  <c r="H26"/>
  <c r="H28"/>
  <c r="E26"/>
  <c r="E28"/>
  <c r="H6"/>
  <c r="H8"/>
  <c r="H10"/>
  <c r="H12"/>
  <c r="H14"/>
  <c r="E6"/>
  <c r="E8"/>
  <c r="E10"/>
  <c r="E12"/>
  <c r="E14"/>
  <c r="H110"/>
  <c r="G73"/>
  <c r="H99"/>
  <c r="H103"/>
  <c r="K33" i="36"/>
  <c r="L33" s="1"/>
  <c r="H31"/>
  <c r="I34"/>
  <c r="H27"/>
  <c r="I29" s="1"/>
  <c r="L25"/>
  <c r="M25" s="1"/>
  <c r="N25" s="1"/>
  <c r="K24"/>
  <c r="H23"/>
  <c r="I26"/>
  <c r="I22"/>
  <c r="K19"/>
  <c r="L19"/>
  <c r="H17"/>
  <c r="I21"/>
  <c r="K16"/>
  <c r="L16"/>
  <c r="I16"/>
  <c r="H11"/>
  <c r="I15"/>
  <c r="L32"/>
  <c r="D14" i="3"/>
  <c r="D13"/>
  <c r="E19"/>
  <c r="I19"/>
  <c r="G19"/>
  <c r="H12"/>
  <c r="E35" i="49"/>
  <c r="F35"/>
  <c r="H35"/>
  <c r="D35"/>
  <c r="C12" i="5"/>
  <c r="J8"/>
  <c r="I8"/>
  <c r="H8"/>
  <c r="G8"/>
  <c r="E34" i="49"/>
  <c r="F34"/>
  <c r="G34"/>
  <c r="H34"/>
  <c r="E33"/>
  <c r="F33"/>
  <c r="G33"/>
  <c r="H33"/>
  <c r="D34"/>
  <c r="D33"/>
  <c r="E32"/>
  <c r="F32"/>
  <c r="G32"/>
  <c r="H32"/>
  <c r="D32"/>
  <c r="E31"/>
  <c r="F31"/>
  <c r="G31"/>
  <c r="H31"/>
  <c r="D31"/>
  <c r="E30"/>
  <c r="F30"/>
  <c r="H30"/>
  <c r="D30"/>
  <c r="H29"/>
  <c r="G29"/>
  <c r="F29"/>
  <c r="E29"/>
  <c r="D29"/>
  <c r="H28" i="5"/>
  <c r="I28"/>
  <c r="J28"/>
  <c r="G28"/>
  <c r="E28"/>
  <c r="H31"/>
  <c r="I31"/>
  <c r="J31"/>
  <c r="G31"/>
  <c r="E31"/>
  <c r="C32"/>
  <c r="C31" s="1"/>
  <c r="D32" s="1"/>
  <c r="C29"/>
  <c r="F21"/>
  <c r="F22"/>
  <c r="F23"/>
  <c r="F24"/>
  <c r="F25"/>
  <c r="F26"/>
  <c r="F27"/>
  <c r="C20"/>
  <c r="C21"/>
  <c r="C22"/>
  <c r="C23"/>
  <c r="C24"/>
  <c r="C25"/>
  <c r="C26"/>
  <c r="C27"/>
  <c r="J18"/>
  <c r="I18"/>
  <c r="I7"/>
  <c r="I33" s="1"/>
  <c r="I9" i="1" s="1"/>
  <c r="H18" i="5"/>
  <c r="G18"/>
  <c r="G7" s="1"/>
  <c r="G33" s="1"/>
  <c r="G9" i="1" s="1"/>
  <c r="C11" i="5"/>
  <c r="C13"/>
  <c r="C14"/>
  <c r="C15"/>
  <c r="C16"/>
  <c r="C17"/>
  <c r="F30" i="6"/>
  <c r="F31"/>
  <c r="J42"/>
  <c r="I42"/>
  <c r="H42"/>
  <c r="G42"/>
  <c r="E42"/>
  <c r="F43"/>
  <c r="J40"/>
  <c r="I40"/>
  <c r="H40"/>
  <c r="G40"/>
  <c r="E40"/>
  <c r="F41"/>
  <c r="H38"/>
  <c r="I38"/>
  <c r="J38"/>
  <c r="G38"/>
  <c r="E38"/>
  <c r="F39"/>
  <c r="J28"/>
  <c r="I28"/>
  <c r="I27" s="1"/>
  <c r="H28"/>
  <c r="G28"/>
  <c r="G27"/>
  <c r="F29"/>
  <c r="F25"/>
  <c r="J22"/>
  <c r="I22"/>
  <c r="I21" s="1"/>
  <c r="I47" s="1"/>
  <c r="H22"/>
  <c r="G22"/>
  <c r="G21"/>
  <c r="E22"/>
  <c r="F23"/>
  <c r="J18"/>
  <c r="I18"/>
  <c r="H18"/>
  <c r="G18"/>
  <c r="H15"/>
  <c r="I15"/>
  <c r="J15"/>
  <c r="G15"/>
  <c r="H13"/>
  <c r="I13"/>
  <c r="J13"/>
  <c r="G13"/>
  <c r="C43"/>
  <c r="C42"/>
  <c r="C41"/>
  <c r="C40"/>
  <c r="C31"/>
  <c r="C30"/>
  <c r="C29"/>
  <c r="C28" s="1"/>
  <c r="C25"/>
  <c r="C24" s="1"/>
  <c r="C23"/>
  <c r="C22" s="1"/>
  <c r="C20"/>
  <c r="H11"/>
  <c r="H10"/>
  <c r="I11"/>
  <c r="I10"/>
  <c r="J11"/>
  <c r="J10"/>
  <c r="G11"/>
  <c r="G10"/>
  <c r="E18"/>
  <c r="E21"/>
  <c r="F22" s="1"/>
  <c r="C38"/>
  <c r="D39" s="1"/>
  <c r="F67" i="15"/>
  <c r="F66"/>
  <c r="F65"/>
  <c r="E65"/>
  <c r="F61"/>
  <c r="E61"/>
  <c r="D61"/>
  <c r="F57"/>
  <c r="E57"/>
  <c r="D57"/>
  <c r="F56"/>
  <c r="F55"/>
  <c r="F54"/>
  <c r="E52"/>
  <c r="F53"/>
  <c r="F47"/>
  <c r="D47"/>
  <c r="F46"/>
  <c r="F45"/>
  <c r="F44"/>
  <c r="F42"/>
  <c r="D42"/>
  <c r="F40"/>
  <c r="F39"/>
  <c r="F38"/>
  <c r="E36"/>
  <c r="F37"/>
  <c r="F36" s="1"/>
  <c r="F32"/>
  <c r="E30"/>
  <c r="F31"/>
  <c r="F24"/>
  <c r="E24"/>
  <c r="D24"/>
  <c r="F23"/>
  <c r="F22"/>
  <c r="F21"/>
  <c r="E19"/>
  <c r="F20"/>
  <c r="F19" s="1"/>
  <c r="F18"/>
  <c r="F17"/>
  <c r="F16"/>
  <c r="E14"/>
  <c r="F15"/>
  <c r="F9"/>
  <c r="E9"/>
  <c r="F4"/>
  <c r="E4"/>
  <c r="F14"/>
  <c r="F52"/>
  <c r="K9" i="9"/>
  <c r="J9"/>
  <c r="I9"/>
  <c r="H9"/>
  <c r="G10" i="31"/>
  <c r="I18" i="36"/>
  <c r="I19"/>
  <c r="I20"/>
  <c r="I32"/>
  <c r="I33"/>
  <c r="I28"/>
  <c r="H5" i="48"/>
  <c r="H26"/>
  <c r="F30" i="15"/>
  <c r="H13" i="1"/>
  <c r="L35" i="36"/>
  <c r="J13" i="1"/>
  <c r="N35" i="36"/>
  <c r="G13" i="1"/>
  <c r="K35" i="36"/>
  <c r="I13" i="1"/>
  <c r="M35" i="36"/>
  <c r="L23" i="7"/>
  <c r="J11" i="1" s="1"/>
  <c r="H10" i="31"/>
  <c r="I10" s="1"/>
  <c r="J10" s="1"/>
  <c r="K10" s="1"/>
  <c r="I10" i="1"/>
  <c r="D17" i="7"/>
  <c r="D8"/>
  <c r="D21" i="48"/>
  <c r="D5"/>
  <c r="D12" i="36"/>
  <c r="M13"/>
  <c r="N13"/>
  <c r="D13" s="1"/>
  <c r="I24"/>
  <c r="I30"/>
  <c r="I25"/>
  <c r="I7" i="7"/>
  <c r="I23"/>
  <c r="G11" i="1" s="1"/>
  <c r="J7" i="7"/>
  <c r="J23" s="1"/>
  <c r="H11" i="1"/>
  <c r="C14" i="6"/>
  <c r="C13" s="1"/>
  <c r="D14"/>
  <c r="H21"/>
  <c r="J21"/>
  <c r="H27"/>
  <c r="J27"/>
  <c r="D15" i="48"/>
  <c r="E26"/>
  <c r="F26"/>
  <c r="K7" i="7"/>
  <c r="K23" s="1"/>
  <c r="I11" i="1" s="1"/>
  <c r="C11" s="1"/>
  <c r="H7" i="5"/>
  <c r="H33" s="1"/>
  <c r="H9" i="1" s="1"/>
  <c r="C9" s="1"/>
  <c r="J7" i="5"/>
  <c r="J33"/>
  <c r="J9" i="1" s="1"/>
  <c r="E12" i="31"/>
  <c r="C13" i="1"/>
  <c r="D26" i="48"/>
  <c r="C19" i="6"/>
  <c r="F20"/>
  <c r="D25"/>
  <c r="C21"/>
  <c r="D34"/>
  <c r="D29"/>
  <c r="D41"/>
  <c r="C8" i="9"/>
  <c r="D43" i="6"/>
  <c r="G47"/>
  <c r="G10" i="1"/>
  <c r="I14" i="3"/>
  <c r="I17"/>
  <c r="I15"/>
  <c r="H7"/>
  <c r="C10" i="5"/>
  <c r="G13" i="49"/>
  <c r="G30" s="1"/>
  <c r="M32" i="36"/>
  <c r="N32"/>
  <c r="D32" s="1"/>
  <c r="I13"/>
  <c r="I14"/>
  <c r="H10"/>
  <c r="I12"/>
  <c r="I11"/>
  <c r="M16"/>
  <c r="N16"/>
  <c r="L24"/>
  <c r="M24"/>
  <c r="N24" s="1"/>
  <c r="H116" i="16"/>
  <c r="H112"/>
  <c r="AO43" i="34"/>
  <c r="AC43"/>
  <c r="F20" i="7"/>
  <c r="D21"/>
  <c r="D20" s="1"/>
  <c r="G18" i="48"/>
  <c r="K20" i="36"/>
  <c r="I18" i="3"/>
  <c r="U43" i="34"/>
  <c r="K14" i="36"/>
  <c r="F11"/>
  <c r="G16"/>
  <c r="K15"/>
  <c r="L15"/>
  <c r="K30"/>
  <c r="L30"/>
  <c r="M19"/>
  <c r="N19" s="1"/>
  <c r="D25"/>
  <c r="H115" i="16"/>
  <c r="H113"/>
  <c r="G6" i="48"/>
  <c r="F13" i="7"/>
  <c r="G15" s="1"/>
  <c r="D14"/>
  <c r="G14"/>
  <c r="F19" i="6"/>
  <c r="F24"/>
  <c r="C28" i="5"/>
  <c r="I16" i="3"/>
  <c r="I13"/>
  <c r="D35" i="36"/>
  <c r="E11" i="6"/>
  <c r="C12"/>
  <c r="C11" s="1"/>
  <c r="C10" s="1"/>
  <c r="H11" i="31"/>
  <c r="I11"/>
  <c r="J11" s="1"/>
  <c r="K11"/>
  <c r="C11" s="1"/>
  <c r="H12"/>
  <c r="G12" i="1" s="1"/>
  <c r="E13" i="6"/>
  <c r="F14" s="1"/>
  <c r="G21" i="48"/>
  <c r="G5"/>
  <c r="D24" i="36"/>
  <c r="G15" i="48"/>
  <c r="E15" i="6"/>
  <c r="C16"/>
  <c r="C15" s="1"/>
  <c r="D16"/>
  <c r="H47"/>
  <c r="H10" i="1"/>
  <c r="E9" i="9"/>
  <c r="C9"/>
  <c r="C18" i="6"/>
  <c r="J15" i="3"/>
  <c r="D13" i="7"/>
  <c r="E14"/>
  <c r="D19" i="36"/>
  <c r="G13"/>
  <c r="G12"/>
  <c r="G14"/>
  <c r="G15"/>
  <c r="G7" i="49"/>
  <c r="C9" i="5"/>
  <c r="C8" s="1"/>
  <c r="E8"/>
  <c r="F9"/>
  <c r="F12"/>
  <c r="C36" i="6"/>
  <c r="C35" s="1"/>
  <c r="C27" s="1"/>
  <c r="E35"/>
  <c r="E27"/>
  <c r="F28" s="1"/>
  <c r="F23" i="36"/>
  <c r="G24" s="1"/>
  <c r="K26"/>
  <c r="D29" i="5"/>
  <c r="L14" i="36"/>
  <c r="M14" s="1"/>
  <c r="N14" s="1"/>
  <c r="E21" i="7"/>
  <c r="I31" i="36"/>
  <c r="I35"/>
  <c r="K34"/>
  <c r="K31" s="1"/>
  <c r="L31" s="1"/>
  <c r="M31" s="1"/>
  <c r="N31" s="1"/>
  <c r="F31"/>
  <c r="G34"/>
  <c r="G26" i="49"/>
  <c r="C19" i="5"/>
  <c r="C18" s="1"/>
  <c r="C7" s="1"/>
  <c r="F20"/>
  <c r="F19"/>
  <c r="G21" i="7"/>
  <c r="D16" i="36"/>
  <c r="D24" i="6"/>
  <c r="K15" i="3"/>
  <c r="I12" i="31"/>
  <c r="H12" i="1" s="1"/>
  <c r="D8" i="9"/>
  <c r="F8"/>
  <c r="G26" i="48"/>
  <c r="F12" i="3"/>
  <c r="G13" s="1"/>
  <c r="G32" i="36"/>
  <c r="G33"/>
  <c r="L26"/>
  <c r="M26" s="1"/>
  <c r="N26" s="1"/>
  <c r="E7" i="5"/>
  <c r="F30" s="1"/>
  <c r="F15"/>
  <c r="F14"/>
  <c r="F17"/>
  <c r="F11"/>
  <c r="F16"/>
  <c r="F13"/>
  <c r="F10"/>
  <c r="D9"/>
  <c r="G12" i="7"/>
  <c r="G35" i="49"/>
  <c r="E16" i="7"/>
  <c r="E15"/>
  <c r="E12"/>
  <c r="E19"/>
  <c r="E18"/>
  <c r="D12" i="6"/>
  <c r="J12" i="31"/>
  <c r="I12" i="1" s="1"/>
  <c r="L15" i="3"/>
  <c r="M15" s="1"/>
  <c r="G17"/>
  <c r="F7"/>
  <c r="F21" s="1"/>
  <c r="D15" i="5"/>
  <c r="D17"/>
  <c r="D14"/>
  <c r="D16"/>
  <c r="D10"/>
  <c r="D23"/>
  <c r="D25"/>
  <c r="D15" i="3"/>
  <c r="C10" i="31"/>
  <c r="D17" i="6" l="1"/>
  <c r="C47"/>
  <c r="D44" s="1"/>
  <c r="D11"/>
  <c r="D15"/>
  <c r="D13"/>
  <c r="D10"/>
  <c r="C33" i="5"/>
  <c r="D31" s="1"/>
  <c r="D30"/>
  <c r="D28"/>
  <c r="D7"/>
  <c r="D37" i="6"/>
  <c r="D42"/>
  <c r="D40"/>
  <c r="D38"/>
  <c r="D27"/>
  <c r="D28"/>
  <c r="D33"/>
  <c r="C12" i="31"/>
  <c r="D11" s="1"/>
  <c r="K23" i="36"/>
  <c r="D26"/>
  <c r="F12" i="6"/>
  <c r="E10"/>
  <c r="F11" s="1"/>
  <c r="M30" i="36"/>
  <c r="N30" s="1"/>
  <c r="K17"/>
  <c r="L20"/>
  <c r="M33"/>
  <c r="N33" s="1"/>
  <c r="N18"/>
  <c r="J16" i="3"/>
  <c r="K16" s="1"/>
  <c r="L16" s="1"/>
  <c r="G16"/>
  <c r="G7"/>
  <c r="D24" i="5"/>
  <c r="D27"/>
  <c r="G12" i="3"/>
  <c r="L34" i="36"/>
  <c r="L11"/>
  <c r="D19" i="5"/>
  <c r="D19" i="6"/>
  <c r="K12" i="31"/>
  <c r="J12" i="1" s="1"/>
  <c r="T33" i="34"/>
  <c r="AN43"/>
  <c r="D14" i="52"/>
  <c r="H40"/>
  <c r="J23"/>
  <c r="J64" s="1"/>
  <c r="F8" i="5"/>
  <c r="F18"/>
  <c r="F28"/>
  <c r="E33"/>
  <c r="G14" i="3"/>
  <c r="G15"/>
  <c r="D18" i="5"/>
  <c r="D20"/>
  <c r="D26"/>
  <c r="D21"/>
  <c r="D22"/>
  <c r="G26" i="36"/>
  <c r="G25"/>
  <c r="D8" i="5"/>
  <c r="D13"/>
  <c r="D11"/>
  <c r="D12"/>
  <c r="D20" i="6"/>
  <c r="D18"/>
  <c r="F16"/>
  <c r="F15"/>
  <c r="G16" i="7"/>
  <c r="F7"/>
  <c r="G13"/>
  <c r="M15" i="36"/>
  <c r="K11"/>
  <c r="D14"/>
  <c r="I23"/>
  <c r="I27"/>
  <c r="I17"/>
  <c r="H36"/>
  <c r="I12" i="3"/>
  <c r="H21"/>
  <c r="I7" s="1"/>
  <c r="F11" i="31"/>
  <c r="F10"/>
  <c r="E10" i="7"/>
  <c r="E9"/>
  <c r="D7"/>
  <c r="D23" i="6"/>
  <c r="D22"/>
  <c r="D32"/>
  <c r="D31"/>
  <c r="D30"/>
  <c r="E110" i="16"/>
  <c r="E116"/>
  <c r="E112"/>
  <c r="N43" i="34"/>
  <c r="T43" s="1"/>
  <c r="T41"/>
  <c r="D99" i="51"/>
  <c r="F15" i="52"/>
  <c r="D15" s="1"/>
  <c r="F96" i="51"/>
  <c r="D96" s="1"/>
  <c r="F21" i="36"/>
  <c r="H19" i="52"/>
  <c r="D19"/>
  <c r="J17" i="3"/>
  <c r="K17" s="1"/>
  <c r="L17" s="1"/>
  <c r="M17" s="1"/>
  <c r="J18"/>
  <c r="G18"/>
  <c r="K29" i="36"/>
  <c r="F23" i="52"/>
  <c r="D10"/>
  <c r="D31" i="36"/>
  <c r="D35" i="6"/>
  <c r="D21"/>
  <c r="J47"/>
  <c r="J10" i="1" s="1"/>
  <c r="C10" s="1"/>
  <c r="AH43" i="34"/>
  <c r="C12" i="1"/>
  <c r="D79" i="51"/>
  <c r="D121"/>
  <c r="F109"/>
  <c r="H11" i="52"/>
  <c r="H23" s="1"/>
  <c r="H64" s="1"/>
  <c r="F22" i="36" l="1"/>
  <c r="F17"/>
  <c r="D21"/>
  <c r="D23" i="7"/>
  <c r="E13"/>
  <c r="E17"/>
  <c r="E8"/>
  <c r="N15" i="36"/>
  <c r="M11"/>
  <c r="F23" i="7"/>
  <c r="G8"/>
  <c r="G17"/>
  <c r="G11"/>
  <c r="G7"/>
  <c r="M34" i="36"/>
  <c r="N34" s="1"/>
  <c r="D34"/>
  <c r="E34" s="1"/>
  <c r="L17"/>
  <c r="M20"/>
  <c r="L23"/>
  <c r="M23" s="1"/>
  <c r="N23" s="1"/>
  <c r="D23" s="1"/>
  <c r="D17" i="3"/>
  <c r="I10" i="36"/>
  <c r="E11" i="7"/>
  <c r="D33" i="36"/>
  <c r="E33" s="1"/>
  <c r="D30"/>
  <c r="D10" i="31"/>
  <c r="D109" i="51"/>
  <c r="F106"/>
  <c r="D106" s="1"/>
  <c r="F28" i="36"/>
  <c r="E32"/>
  <c r="F64" i="52"/>
  <c r="E7" i="1"/>
  <c r="L29" i="36"/>
  <c r="K27"/>
  <c r="K10" s="1"/>
  <c r="K36" s="1"/>
  <c r="G7" i="1" s="1"/>
  <c r="G14" s="1"/>
  <c r="K18" i="3"/>
  <c r="L18" s="1"/>
  <c r="M18" s="1"/>
  <c r="D18"/>
  <c r="F31" i="5"/>
  <c r="F7"/>
  <c r="M16" i="3"/>
  <c r="M12" s="1"/>
  <c r="M7" s="1"/>
  <c r="M21" s="1"/>
  <c r="J8" i="1" s="1"/>
  <c r="L12" i="3"/>
  <c r="L7" s="1"/>
  <c r="L21" s="1"/>
  <c r="I8" i="1" s="1"/>
  <c r="D18" i="36"/>
  <c r="E47" i="6"/>
  <c r="F13"/>
  <c r="F18"/>
  <c r="F17"/>
  <c r="F10"/>
  <c r="J12" i="3"/>
  <c r="J7" s="1"/>
  <c r="J21" s="1"/>
  <c r="G8" i="1" s="1"/>
  <c r="K12" i="3"/>
  <c r="K7" s="1"/>
  <c r="K21" s="1"/>
  <c r="H8" i="1" s="1"/>
  <c r="E24" i="36" l="1"/>
  <c r="E25"/>
  <c r="E26"/>
  <c r="F21" i="6"/>
  <c r="F27"/>
  <c r="L27" i="36"/>
  <c r="L10" s="1"/>
  <c r="L36" s="1"/>
  <c r="H7" i="1" s="1"/>
  <c r="H14" s="1"/>
  <c r="N20" i="36"/>
  <c r="N17" s="1"/>
  <c r="M17"/>
  <c r="G20" i="7"/>
  <c r="G22"/>
  <c r="N11" i="36"/>
  <c r="D15"/>
  <c r="E22" i="7"/>
  <c r="E20"/>
  <c r="D22" i="36"/>
  <c r="E22" s="1"/>
  <c r="G22"/>
  <c r="E14" i="1"/>
  <c r="F7"/>
  <c r="D28" i="36"/>
  <c r="F27"/>
  <c r="G19"/>
  <c r="G20"/>
  <c r="D17"/>
  <c r="E18" s="1"/>
  <c r="G18"/>
  <c r="C8" i="1"/>
  <c r="D16" i="3"/>
  <c r="F169" i="51"/>
  <c r="D20" i="36"/>
  <c r="E20" s="1"/>
  <c r="D11"/>
  <c r="E7" i="7"/>
  <c r="G21" i="36"/>
  <c r="G30" l="1"/>
  <c r="G29"/>
  <c r="F36"/>
  <c r="M27"/>
  <c r="M10" s="1"/>
  <c r="M36" s="1"/>
  <c r="I7" i="1" s="1"/>
  <c r="N29" i="36"/>
  <c r="D12" i="3"/>
  <c r="E16"/>
  <c r="E13" i="36"/>
  <c r="E12"/>
  <c r="E14"/>
  <c r="E19"/>
  <c r="F8" i="1"/>
  <c r="F9"/>
  <c r="F13"/>
  <c r="F12"/>
  <c r="F11"/>
  <c r="F10"/>
  <c r="E15" i="36"/>
  <c r="E16"/>
  <c r="F10"/>
  <c r="G28"/>
  <c r="E21"/>
  <c r="G31" l="1"/>
  <c r="G23"/>
  <c r="G11"/>
  <c r="G17"/>
  <c r="N27"/>
  <c r="N10" s="1"/>
  <c r="N36" s="1"/>
  <c r="J7" i="1" s="1"/>
  <c r="J14" s="1"/>
  <c r="D29" i="36"/>
  <c r="D36"/>
  <c r="D27"/>
  <c r="E13" i="3"/>
  <c r="E15"/>
  <c r="D7"/>
  <c r="E14"/>
  <c r="E18"/>
  <c r="E17"/>
  <c r="I14" i="1"/>
  <c r="G27" i="36"/>
  <c r="C7" i="1" l="1"/>
  <c r="D21" i="3"/>
  <c r="E7" s="1"/>
  <c r="E30" i="36"/>
  <c r="E28"/>
  <c r="E12" i="3"/>
  <c r="E29" i="36"/>
  <c r="C14" i="1"/>
  <c r="D10" i="36"/>
  <c r="E27" s="1"/>
  <c r="D13" i="1" l="1"/>
  <c r="D11"/>
  <c r="D9"/>
  <c r="D10"/>
  <c r="D12"/>
  <c r="D8"/>
  <c r="D7"/>
  <c r="E31" i="36"/>
  <c r="E23"/>
  <c r="E11"/>
  <c r="E10" s="1"/>
  <c r="E17"/>
</calcChain>
</file>

<file path=xl/comments1.xml><?xml version="1.0" encoding="utf-8"?>
<comments xmlns="http://schemas.openxmlformats.org/spreadsheetml/2006/main">
  <authors>
    <author>Olexandr.Lukyanuk</author>
  </authors>
  <commentList>
    <comment ref="D80" authorId="0">
      <text>
        <r>
          <rPr>
            <b/>
            <sz val="8"/>
            <color indexed="81"/>
            <rFont val="Tahoma"/>
            <family val="2"/>
            <charset val="204"/>
          </rPr>
          <t>Olexandr.Lukyanuk:</t>
        </r>
        <r>
          <rPr>
            <sz val="8"/>
            <color indexed="81"/>
            <rFont val="Tahoma"/>
            <family val="2"/>
            <charset val="204"/>
          </rPr>
          <t xml:space="preserve">
Західна-1
Іскра-1
Південна-2
Дубровиця-1
ЗдолбунівЦШК-2
Рокитно-1
Степань-1</t>
        </r>
      </text>
    </comment>
    <comment ref="G80" authorId="0">
      <text>
        <r>
          <rPr>
            <b/>
            <sz val="8"/>
            <color indexed="81"/>
            <rFont val="Tahoma"/>
            <family val="2"/>
            <charset val="204"/>
          </rPr>
          <t>Olexandr.Lukyanuk:</t>
        </r>
        <r>
          <rPr>
            <sz val="8"/>
            <color indexed="81"/>
            <rFont val="Tahoma"/>
            <family val="2"/>
            <charset val="204"/>
          </rPr>
          <t xml:space="preserve">
Західна-1
Іскра-1
Південна-2
Дубровиця-1
ЗдолбунівЦШК-2
Рокитно-1
Степань-1
Острог-1</t>
        </r>
      </text>
    </comment>
    <comment ref="D87" authorId="0">
      <text>
        <r>
          <rPr>
            <b/>
            <sz val="8"/>
            <color indexed="81"/>
            <rFont val="Tahoma"/>
            <family val="2"/>
            <charset val="204"/>
          </rPr>
          <t>Olexandr.Lukyanuk:</t>
        </r>
        <r>
          <rPr>
            <sz val="8"/>
            <color indexed="81"/>
            <rFont val="Tahoma"/>
            <family val="2"/>
            <charset val="204"/>
          </rPr>
          <t xml:space="preserve">
Клесів-2
Гоща-1
Дубровиця-2
Дубно-1
Квасилів-2
Корець-1
Рокитно-2</t>
        </r>
      </text>
    </comment>
  </commentList>
</comments>
</file>

<file path=xl/comments2.xml><?xml version="1.0" encoding="utf-8"?>
<comments xmlns="http://schemas.openxmlformats.org/spreadsheetml/2006/main">
  <authors>
    <author>Kateryna.Chernova</author>
    <author>rlypak</author>
  </authors>
  <commentList>
    <comment ref="C46" authorId="0">
      <text>
        <r>
          <rPr>
            <b/>
            <sz val="8"/>
            <color indexed="81"/>
            <rFont val="Tahoma"/>
            <family val="2"/>
            <charset val="204"/>
          </rPr>
          <t>Kateryna.Chernova:</t>
        </r>
        <r>
          <rPr>
            <sz val="8"/>
            <color indexed="81"/>
            <rFont val="Tahoma"/>
            <family val="2"/>
            <charset val="204"/>
          </rPr>
          <t xml:space="preserve">
у Чечеля</t>
        </r>
      </text>
    </comment>
    <comment ref="D46" authorId="0">
      <text>
        <r>
          <rPr>
            <b/>
            <sz val="8"/>
            <color indexed="81"/>
            <rFont val="Tahoma"/>
            <family val="2"/>
            <charset val="204"/>
          </rPr>
          <t>Kateryna.Chernova:</t>
        </r>
        <r>
          <rPr>
            <sz val="8"/>
            <color indexed="81"/>
            <rFont val="Tahoma"/>
            <family val="2"/>
            <charset val="204"/>
          </rPr>
          <t xml:space="preserve">
у Чечеля</t>
        </r>
      </text>
    </comment>
    <comment ref="E46" authorId="0">
      <text>
        <r>
          <rPr>
            <b/>
            <sz val="8"/>
            <color indexed="81"/>
            <rFont val="Tahoma"/>
            <family val="2"/>
            <charset val="204"/>
          </rPr>
          <t>Kateryna.Chernova:</t>
        </r>
        <r>
          <rPr>
            <sz val="8"/>
            <color indexed="81"/>
            <rFont val="Tahoma"/>
            <family val="2"/>
            <charset val="204"/>
          </rPr>
          <t xml:space="preserve">
у Чечеля</t>
        </r>
      </text>
    </comment>
    <comment ref="C51" authorId="1">
      <text>
        <r>
          <rPr>
            <b/>
            <sz val="8"/>
            <color indexed="81"/>
            <rFont val="Tahoma"/>
            <family val="2"/>
            <charset val="204"/>
          </rPr>
          <t>rlypak:</t>
        </r>
        <r>
          <rPr>
            <sz val="8"/>
            <color indexed="81"/>
            <rFont val="Tahoma"/>
            <family val="2"/>
            <charset val="204"/>
          </rPr>
          <t xml:space="preserve">
Згідно  методики розрахунку умовних одиниць РЗА враховуються в підстанційному обладнанні</t>
        </r>
      </text>
    </comment>
    <comment ref="D51" authorId="1">
      <text>
        <r>
          <rPr>
            <b/>
            <sz val="8"/>
            <color indexed="81"/>
            <rFont val="Tahoma"/>
            <family val="2"/>
            <charset val="204"/>
          </rPr>
          <t>rlypak:</t>
        </r>
        <r>
          <rPr>
            <sz val="8"/>
            <color indexed="81"/>
            <rFont val="Tahoma"/>
            <family val="2"/>
            <charset val="204"/>
          </rPr>
          <t xml:space="preserve">
Згідно  методики розрахунку умовних одиниць РЗА враховуються в підстанційному обладнанні</t>
        </r>
      </text>
    </comment>
    <comment ref="E51" authorId="1">
      <text>
        <r>
          <rPr>
            <b/>
            <sz val="8"/>
            <color indexed="81"/>
            <rFont val="Tahoma"/>
            <family val="2"/>
            <charset val="204"/>
          </rPr>
          <t>rlypak:</t>
        </r>
        <r>
          <rPr>
            <sz val="8"/>
            <color indexed="81"/>
            <rFont val="Tahoma"/>
            <family val="2"/>
            <charset val="204"/>
          </rPr>
          <t xml:space="preserve">
Згідно  методики розрахунку умовних одиниць РЗА враховуються в підстанційному обладнанні</t>
        </r>
      </text>
    </comment>
    <comment ref="F51" authorId="1">
      <text>
        <r>
          <rPr>
            <b/>
            <sz val="8"/>
            <color indexed="81"/>
            <rFont val="Tahoma"/>
            <family val="2"/>
            <charset val="204"/>
          </rPr>
          <t>rlypak:</t>
        </r>
        <r>
          <rPr>
            <sz val="8"/>
            <color indexed="81"/>
            <rFont val="Tahoma"/>
            <family val="2"/>
            <charset val="204"/>
          </rPr>
          <t xml:space="preserve">
Згідно  методики розрахунку умовних одиниць РЗА враховуються в підстанційному обладнанні</t>
        </r>
      </text>
    </comment>
    <comment ref="G51" authorId="1">
      <text>
        <r>
          <rPr>
            <b/>
            <sz val="8"/>
            <color indexed="81"/>
            <rFont val="Tahoma"/>
            <family val="2"/>
            <charset val="204"/>
          </rPr>
          <t>rlypak:</t>
        </r>
        <r>
          <rPr>
            <sz val="8"/>
            <color indexed="81"/>
            <rFont val="Tahoma"/>
            <family val="2"/>
            <charset val="204"/>
          </rPr>
          <t xml:space="preserve">
Згідно  методики розрахунку умовних одиниць РЗА враховуються в підстанційному обладнанні</t>
        </r>
      </text>
    </comment>
  </commentList>
</comments>
</file>

<file path=xl/sharedStrings.xml><?xml version="1.0" encoding="utf-8"?>
<sst xmlns="http://schemas.openxmlformats.org/spreadsheetml/2006/main" count="4522" uniqueCount="1792">
  <si>
    <t>1.7</t>
  </si>
  <si>
    <t>1.8</t>
  </si>
  <si>
    <t>1.9</t>
  </si>
  <si>
    <t>1.10</t>
  </si>
  <si>
    <t>1.11</t>
  </si>
  <si>
    <t>1.12</t>
  </si>
  <si>
    <t>1.13</t>
  </si>
  <si>
    <t>1.14</t>
  </si>
  <si>
    <t>1.15</t>
  </si>
  <si>
    <t>1.16</t>
  </si>
  <si>
    <t>1.17</t>
  </si>
  <si>
    <t>1.18</t>
  </si>
  <si>
    <t>М. П.</t>
  </si>
  <si>
    <t>Власні кошти, у т.ч.</t>
  </si>
  <si>
    <t>Усього</t>
  </si>
  <si>
    <t>у доброму стані</t>
  </si>
  <si>
    <t>ПС з вищим класом напруги 110 (150) кВ, усього</t>
  </si>
  <si>
    <t>ПС з вищим класом напруги 35 кВ, усього</t>
  </si>
  <si>
    <t>ТП, РП-6 (10) кВ, усього</t>
  </si>
  <si>
    <t>Силові трансформатори ПС вищою напругою 35 кВ, усього</t>
  </si>
  <si>
    <t>Силові трансформатори ПС вищою напругою 110 (150) кВ, усього</t>
  </si>
  <si>
    <t>Довжина повітряних ліній електропередачі, усього по колах</t>
  </si>
  <si>
    <t>перекидок 0,4 кВ, усього</t>
  </si>
  <si>
    <t>Довжина кабельних ліній електропередачі, усього</t>
  </si>
  <si>
    <t>Кількість вимикачів, що не відповідають струмам короткого замикання в електромережі, але експлуатуються, усього</t>
  </si>
  <si>
    <t>Кількість РП 6-20 кВ, усього</t>
  </si>
  <si>
    <t>Кількість лінійних та підстанціонних роз'єднувачів напругою 6-10 кВ, усього</t>
  </si>
  <si>
    <t>у т.ч. з ізольованими проводами (кабелями)</t>
  </si>
  <si>
    <t>пристрої компенсації ємкісного струму</t>
  </si>
  <si>
    <t>Кількість вимикачів, що випрацювали термін служби</t>
  </si>
  <si>
    <t>усього</t>
  </si>
  <si>
    <t>у т.ч. на базі тракторів</t>
  </si>
  <si>
    <t>у тому числі по 2 класу напруги</t>
  </si>
  <si>
    <t>у тому числі з передачі</t>
  </si>
  <si>
    <t>Найменування енергооб'єкта, його місцезнаходження та потужність</t>
  </si>
  <si>
    <t>ПЛ-110 (150) кВ, усього</t>
  </si>
  <si>
    <t>будівництво, усього</t>
  </si>
  <si>
    <t>реконструкція, усього</t>
  </si>
  <si>
    <t>ПЛ-35 кВ, усього</t>
  </si>
  <si>
    <t>ПЛ-6 (10) кВ, усього</t>
  </si>
  <si>
    <t>ПЛ-0,4 кВ, усього</t>
  </si>
  <si>
    <t>КЛ-110 кВ, усього</t>
  </si>
  <si>
    <t>КЛ-35 кВ, усього</t>
  </si>
  <si>
    <t>КЛ-6 (10) кВ, усього</t>
  </si>
  <si>
    <t>КЛ-0,4 кВ, усього</t>
  </si>
  <si>
    <t>модернізація, усього</t>
  </si>
  <si>
    <t>Усього по програмі</t>
  </si>
  <si>
    <t>6-20 кВ</t>
  </si>
  <si>
    <t>11.1</t>
  </si>
  <si>
    <t>11.1.1</t>
  </si>
  <si>
    <t>11.2</t>
  </si>
  <si>
    <t>11.2.1</t>
  </si>
  <si>
    <t>1. Перелік об'єктів незавершеного будівництва, модернізації та реконструкції</t>
  </si>
  <si>
    <t>Початок робіт (рік, місяць)</t>
  </si>
  <si>
    <t>1.1.2</t>
  </si>
  <si>
    <t>1.1.3</t>
  </si>
  <si>
    <t>1.1.4</t>
  </si>
  <si>
    <t>Джерела фінансування</t>
  </si>
  <si>
    <t>IV квартал</t>
  </si>
  <si>
    <t>Найменування відповідної державної програми</t>
  </si>
  <si>
    <t>Тип вимірювального трансформатора</t>
  </si>
  <si>
    <t>напругою 0,4 кВ</t>
  </si>
  <si>
    <t>Наявність дублюючого лічильника</t>
  </si>
  <si>
    <t>Кількість трансформаторів напруги, що підлягають заміні (встановленню), шт.</t>
  </si>
  <si>
    <t>Кількість трансформаторів струму, що підлягають заміні (встановленню), шт.</t>
  </si>
  <si>
    <t>У промислових споживачів (продовження)</t>
  </si>
  <si>
    <t>У непромислових споживачів (продовження)</t>
  </si>
  <si>
    <t>У побутових споживачів (продовження)</t>
  </si>
  <si>
    <t>Наявність проектної документації (дата і номер документа про її затвердження)*</t>
  </si>
  <si>
    <t>Спосіб виконання робіт (підрядний/ господарський)</t>
  </si>
  <si>
    <t>Тип приладу обліку (повне маркування)</t>
  </si>
  <si>
    <t>Параметри</t>
  </si>
  <si>
    <t>Характер робіт (нове будівництво, реконструкція, модернізація)</t>
  </si>
  <si>
    <t>Показник на кінець року</t>
  </si>
  <si>
    <t>з</t>
  </si>
  <si>
    <t>—</t>
  </si>
  <si>
    <t>Кількість установлених  трансформаторів, шт.</t>
  </si>
  <si>
    <t>Кількість трансформаторів, що підлягають заміні, шт.</t>
  </si>
  <si>
    <t>Кількість трансформаторів, що підлягають установленню в точках обліку, які не облаштовані приладами обліку, шт.</t>
  </si>
  <si>
    <t>економії витрат на паливно-мастильні матеріали</t>
  </si>
  <si>
    <t>зменшення інших витрат</t>
  </si>
  <si>
    <t>9=5+6+7+8</t>
  </si>
  <si>
    <t>10=4/9</t>
  </si>
  <si>
    <t>Рік будівництва або попередньої реконструкції</t>
  </si>
  <si>
    <t>9=4-5</t>
  </si>
  <si>
    <t>тис. грн з ПДВ</t>
  </si>
  <si>
    <t xml:space="preserve"> прибуток від ліцензованої
 діяльності</t>
  </si>
  <si>
    <t xml:space="preserve"> операційні витрати</t>
  </si>
  <si>
    <t xml:space="preserve"> інші доходи</t>
  </si>
  <si>
    <t>Назва обладнання та
якісна оцінка*</t>
  </si>
  <si>
    <t>км
(по трасі)</t>
  </si>
  <si>
    <t>Силові трансформатори ПС вищою напругою 6-10 кВ, усього</t>
  </si>
  <si>
    <t>напругою 220 кВ</t>
  </si>
  <si>
    <t>Кількість власних знижувальних ПС 35-220 кВ та потужність силових трансформаторів на них, усього</t>
  </si>
  <si>
    <t>Кількість короткозамикачів, установлених на знижувальних підстанціях напругою 35-220 кВ, усього</t>
  </si>
  <si>
    <t>Кількість відокремлювачів, установлених на знижувальних підстанціях напругою 35-220 кВ, усього</t>
  </si>
  <si>
    <t>Кількість роз'єднувачів, установлених на знижувальних підстанціях напругою 35-220 кВ, усього</t>
  </si>
  <si>
    <t>напругою 6-10 кВ, з них:</t>
  </si>
  <si>
    <t>напругою 35 кВ, з них:</t>
  </si>
  <si>
    <t>напругою 110 кВ, з них:</t>
  </si>
  <si>
    <t>електромагнітних</t>
  </si>
  <si>
    <t>елегазових, у .т.ч.:</t>
  </si>
  <si>
    <t xml:space="preserve"> бакових</t>
  </si>
  <si>
    <t xml:space="preserve"> колонкових</t>
  </si>
  <si>
    <t>Кількість вимикачів  навантаження 6-10 кВ, усього</t>
  </si>
  <si>
    <t>1,0 
та краще</t>
  </si>
  <si>
    <t>1,0 і краще</t>
  </si>
  <si>
    <t>2=3+4</t>
  </si>
  <si>
    <t>4=5+6=
=7+8</t>
  </si>
  <si>
    <t>4=5+6=
=16+24</t>
  </si>
  <si>
    <t>10=11+12</t>
  </si>
  <si>
    <t>12=13+14</t>
  </si>
  <si>
    <t>13=14+15</t>
  </si>
  <si>
    <t>18=19+20+21=
=22+23+24+25</t>
  </si>
  <si>
    <t>16=17+18+19=
=20+21+22+23</t>
  </si>
  <si>
    <t>24=25+26=
=27+28</t>
  </si>
  <si>
    <t>26=27+28=
=29+30</t>
  </si>
  <si>
    <t>Кількість точок обліку всього, шт.</t>
  </si>
  <si>
    <t>Кількість  безоблікових точок обліку, шт.</t>
  </si>
  <si>
    <t xml:space="preserve">                  Кількість установлених лічильників, шт.</t>
  </si>
  <si>
    <t xml:space="preserve">                   Кількість встановлених лічильників, шт.</t>
  </si>
  <si>
    <t xml:space="preserve">             Кількість установлених лічильників, шт.</t>
  </si>
  <si>
    <t>Рівень напруги ЛЕП, кВ</t>
  </si>
  <si>
    <t>Кількість точок обліку у містах</t>
  </si>
  <si>
    <t>Кількість точок обліку у сільській місцевості</t>
  </si>
  <si>
    <t>Кількість точок обліку, шт.</t>
  </si>
  <si>
    <r>
      <t>Площа території, на якій здійснюється ліцензована діяльність, км</t>
    </r>
    <r>
      <rPr>
        <vertAlign val="superscript"/>
        <sz val="11"/>
        <rFont val="Times New Roman"/>
        <family val="1"/>
        <charset val="204"/>
      </rPr>
      <t>2</t>
    </r>
  </si>
  <si>
    <t>Усього
у т.ч.:</t>
  </si>
  <si>
    <t>Рік *</t>
  </si>
  <si>
    <t>** Без довжини вводів в індивідуальні житлові будинки та довжини внутрішньобудинкових мереж.</t>
  </si>
  <si>
    <t>0,38 кВ</t>
  </si>
  <si>
    <t>Обсяги робіт та капіталовкладень
ПЛ, КЛ / ПС</t>
  </si>
  <si>
    <t>Інвентарний номер об'єкта</t>
  </si>
  <si>
    <t>кількість*</t>
  </si>
  <si>
    <t>Усього по програмі:</t>
  </si>
  <si>
    <t>110 кВ (150 кВ)</t>
  </si>
  <si>
    <t>110 кВ (220, 150 кВ)</t>
  </si>
  <si>
    <t>Реконструкція ПС, ТП та РП, усього, з них:</t>
  </si>
  <si>
    <t>Модернізація ПС, ТП та РП, усього, з них:</t>
  </si>
  <si>
    <t xml:space="preserve">  Найменування ліцензіата</t>
  </si>
  <si>
    <t xml:space="preserve">  Прогнозний період</t>
  </si>
  <si>
    <t xml:space="preserve">  П'ятирічний період</t>
  </si>
  <si>
    <t>до</t>
  </si>
  <si>
    <t>(прізвище, ім'я, по батькові)</t>
  </si>
  <si>
    <t>4. Узагальнений технічний стан об'єктів електричних мереж</t>
  </si>
  <si>
    <t>вимагають заміни як такі, що не підлягають ремонту</t>
  </si>
  <si>
    <t>4.1. Характеристика електричних мереж</t>
  </si>
  <si>
    <t xml:space="preserve">4.2.2. Стан обліку електричної енергії у промислових споживачів </t>
  </si>
  <si>
    <t xml:space="preserve">4.2.4. Стан обліку електричної енергії у населення </t>
  </si>
  <si>
    <t>4.3.1. Технічний стан вимірювальних трансформаторів струму та напруги
точок комерційного обліку</t>
  </si>
  <si>
    <t>5.1. Будівництво, модернізація та реконструкція електричних мереж та обладнання</t>
  </si>
  <si>
    <t>5.3. Впровадження та розвиток АСДТК</t>
  </si>
  <si>
    <t>з ізольованим проводом (магістральним)</t>
  </si>
  <si>
    <t>км / %</t>
  </si>
  <si>
    <t>шт. / МВА</t>
  </si>
  <si>
    <t>шт. / %</t>
  </si>
  <si>
    <t>шт. / % / МВА</t>
  </si>
  <si>
    <t>шт. / км</t>
  </si>
  <si>
    <t>Кількість та потужність силових трансформаторів, установлених на знижувальних підстанціях напругою 6-220 кВ (без трансформаторів  для підключення заземлювальних реакторів та трансформаторів власних потреб), усього</t>
  </si>
  <si>
    <t>Кількість вимикачів, установлених на об'єктах  електричних мереж напругою
6-220 кВ, усього</t>
  </si>
  <si>
    <t>вакуумних</t>
  </si>
  <si>
    <t>Придбання та впровадження засобів диспетчерсько-технологічного керування замість морально і фізично зношених та для розширення наявних, у т.ч.:</t>
  </si>
  <si>
    <t>5.5. Впровадження та розвиток систем зв'язку</t>
  </si>
  <si>
    <t>Група за роком випуску</t>
  </si>
  <si>
    <t>Упровадження та розвиток локальних обчислювальних мереж (зокрема СКС),
у тому числі:</t>
  </si>
  <si>
    <t>1.19</t>
  </si>
  <si>
    <t>Інші види колісної техніки (розшифрувати)</t>
  </si>
  <si>
    <t>Закупівля нових та модернізація наявних апаратних засобів інформатизації, у т.ч.:</t>
  </si>
  <si>
    <t>закупівля  та модернізація робочих станцій</t>
  </si>
  <si>
    <t>закупівля  та модернізація серверів</t>
  </si>
  <si>
    <t>закупівля  та модернізація активного обладнання комп'ютерних мереж</t>
  </si>
  <si>
    <t>побудова та модернізація структурованих кабельних мереж</t>
  </si>
  <si>
    <t>Закупівля системного програмного забезпечення, у т.ч.:</t>
  </si>
  <si>
    <t>Закупівля та модернізація прикладного програмного забезпечення, у т.ч.:</t>
  </si>
  <si>
    <t xml:space="preserve">офісного </t>
  </si>
  <si>
    <t>захисту інформації</t>
  </si>
  <si>
    <t>геоінформаційних систем</t>
  </si>
  <si>
    <t>систем електронного документообігу</t>
  </si>
  <si>
    <t>3.4</t>
  </si>
  <si>
    <t>3.5</t>
  </si>
  <si>
    <t>3.6</t>
  </si>
  <si>
    <t>Впровадження та модернізація контакт-центрів</t>
  </si>
  <si>
    <t>3.7</t>
  </si>
  <si>
    <t>3.8</t>
  </si>
  <si>
    <t>інформаційних систем управління виробництвом</t>
  </si>
  <si>
    <t>систем керування взаємовідносинами зі споживачами</t>
  </si>
  <si>
    <t>**Різниця між звітним значенням технологічних витрат електричної енергії та нормативним значенням технологічних витрат електричної енергії.</t>
  </si>
  <si>
    <t>Трансформаторні підстанції (ТП), розподільні пункти (РП)-6 (10) кВ, усього</t>
  </si>
  <si>
    <t>* Оцінку необхідності капітального ремонту або повної заміни ліній електропередачі (ЛЕП) проводити за пріоритетом реального технічного стану, а не з урахуванням періодичності капітального ремонту.</t>
  </si>
  <si>
    <t>телемеханіку в повному обсязі</t>
  </si>
  <si>
    <t>Кількість обмежувачів перенапруги (ОПН) , усього</t>
  </si>
  <si>
    <t>15=16+17</t>
  </si>
  <si>
    <t>з проводом стальним (ПС)</t>
  </si>
  <si>
    <t>Трансформатори напруги (ТН), усього</t>
  </si>
  <si>
    <t>Трансформатори струму (ТС), усього</t>
  </si>
  <si>
    <t>4.6. Узагальнений порівняльний аналіз змін технічного стану колісних транспортних засобів, спеціальних машин та механізмів, виконаних на колісних шасі *</t>
  </si>
  <si>
    <t>у т.ч. для оперативних виїзних бригад (ОВБ)</t>
  </si>
  <si>
    <t>Впровадження та розвиток автоматизованих систем диспетчерсько-технологічного керування (АСДТК)</t>
  </si>
  <si>
    <t>цифрові автоматичні телефонні станції (АТС)</t>
  </si>
  <si>
    <t>Виробник лічильників</t>
  </si>
  <si>
    <t>Кількість, шт.</t>
  </si>
  <si>
    <t>*Колонки „млн кВт•год” та „%” заповнюються відповідно до форми 1Б-ТВЕ. Колонка „млн грн” заповнюється тільки для рядків „Нормативні технологічні витрати” та „Небаланс”, при цьому розрахунок вартості здійснюється шляхом додавання помісячних даних економії (збитків), отриманих ліцензіатом внаслідок різниці між фактичними та нормативними витратами. Місячний обсяг економії (збитків), отриманих ліцензіатом, розраховується як добуток обсягів небалансу електричної енергії та фактичної середньозваженої оптової ринкової ціни, яка розрахована відповідно до Правил Оптового ринку електричної енергії України.</t>
  </si>
  <si>
    <t>впровадження корпоративного зв'язку ліцензіата</t>
  </si>
  <si>
    <t>Автобуси категорій М3 та М2 ("мікроавтобуси")</t>
  </si>
  <si>
    <t>з ізоляцією зі зшитого поліетилену</t>
  </si>
  <si>
    <t>Кількість власних знижувальних ПС 35-220 кВ, усього,
з них такі, які мають:</t>
  </si>
  <si>
    <t xml:space="preserve">Довжина грозозахисного троса по трасі ПЛ 35-220 кВ, усього </t>
  </si>
  <si>
    <t>* Довжина ліній електропередачі вказується по трасі ліній.</t>
  </si>
  <si>
    <t>економічний ефект (окупність в роках)</t>
  </si>
  <si>
    <t>шт</t>
  </si>
  <si>
    <t>6.3</t>
  </si>
  <si>
    <t>Т-150К БКО-1</t>
  </si>
  <si>
    <t>ТВГ-15 ГАЗ-52</t>
  </si>
  <si>
    <t xml:space="preserve"> </t>
  </si>
  <si>
    <t xml:space="preserve"> небаланс ТВЕ</t>
  </si>
  <si>
    <t>1.1.4.2</t>
  </si>
  <si>
    <t xml:space="preserve"> дохід від реактивної е/е</t>
  </si>
  <si>
    <t>1.1.4.3</t>
  </si>
  <si>
    <t xml:space="preserve"> додатковий дохід 2012</t>
  </si>
  <si>
    <t>1.6.1</t>
  </si>
  <si>
    <t xml:space="preserve"> не використані кошти ІП 2012</t>
  </si>
  <si>
    <t>Набір монтажного інструменту для роботи з СІП</t>
  </si>
  <si>
    <t>01.01.2014р.</t>
  </si>
  <si>
    <t>31.12.2014р.</t>
  </si>
  <si>
    <t>2014р.</t>
  </si>
  <si>
    <t>2018р.</t>
  </si>
  <si>
    <t xml:space="preserve">Інвестиційна програма </t>
  </si>
  <si>
    <t>ПАТ "Рівнеобленерго"</t>
  </si>
  <si>
    <t>Плата XFALC в резерв</t>
  </si>
  <si>
    <t xml:space="preserve">Цифрові телефонні диспетчерські пульти </t>
  </si>
  <si>
    <t>Радіостанції</t>
  </si>
  <si>
    <t>Система для проведення міністерських 
селекторних нарад АСС БР-6102</t>
  </si>
  <si>
    <t>Закупівля нових робочих станцій</t>
  </si>
  <si>
    <t>Портативний компютер</t>
  </si>
  <si>
    <t>Всього</t>
  </si>
  <si>
    <t>Закупівля програмного забезпечення, у т.ч.:</t>
  </si>
  <si>
    <t>ЗІП для системи телемеханіки</t>
  </si>
  <si>
    <t>Заміна приладів обліку підрядним способом при реконструкції електромереж:</t>
  </si>
  <si>
    <t>Витрати на виніс 1-фазних лічильників на фасад будинку підрядним способом при реконструкції ПЛ-0,4 кВ</t>
  </si>
  <si>
    <t>Витрати на виніс 3-фазних лічильників на фасад будинку підрядним способом при реконструкції ПЛ-0,4 кВ</t>
  </si>
  <si>
    <t>Заміна дефектних приладів обліку:</t>
  </si>
  <si>
    <t>Витрати на заміну 1-фазних лічильників на нові (дефектні лічильники)</t>
  </si>
  <si>
    <t>Витрати на заміну 3-фазних лічильників на нові (дефектні лічильники)</t>
  </si>
  <si>
    <t>Заміна приладів обліку власними силами:</t>
  </si>
  <si>
    <t>Виніс приладів обліку в багатоквартирних будинках на 1 поверхи силами підрядника:</t>
  </si>
  <si>
    <t>Монтаж щитів в багатоповерхових будинках підрядним способом</t>
  </si>
  <si>
    <t xml:space="preserve">Витрати на виніс 1-фазних лічильників власними силами на фасад будинків </t>
  </si>
  <si>
    <t xml:space="preserve">Витрати на виніс 3-фазних лічильників власними силами на фасад будинків </t>
  </si>
  <si>
    <t>Голова правління                                         ___________________</t>
  </si>
  <si>
    <t>Невмержицький Сергій Миколайович</t>
  </si>
  <si>
    <t>(або особа, яка виконує його обовязки)                        (підпис)</t>
  </si>
  <si>
    <t>Головний бухгалтер                                         ___________________</t>
  </si>
  <si>
    <t>Заміна однофазних відгалужень до житлових будинків на ізольовані</t>
  </si>
  <si>
    <t>Заміна трифазних відгалужень до житлових будинків на ізольовані</t>
  </si>
  <si>
    <t>Встановлення розвантажувальних ТП:</t>
  </si>
  <si>
    <t>Об'єктів незавершеного будівництва в 2014 році не планується</t>
  </si>
  <si>
    <t>АТС Клевань</t>
  </si>
  <si>
    <t>ЗІП ІСПІ</t>
  </si>
  <si>
    <t>Закупівля Cisco Call manager</t>
  </si>
  <si>
    <t>Модернізація системи передачі інформації</t>
  </si>
  <si>
    <t>ЗІП АТС</t>
  </si>
  <si>
    <t xml:space="preserve">Заміна батарей резервного живлення системи СПІ </t>
  </si>
  <si>
    <t>Закупівля блоків ББЖ для серверних приміщень в Ремах</t>
  </si>
  <si>
    <t>ЗІП СПІ</t>
  </si>
  <si>
    <t>Система для проведення міністерських селекторних нарад АСС БР-6102</t>
  </si>
  <si>
    <t>Закупівля рбочих станцій та ноутбуків</t>
  </si>
  <si>
    <t>Модернізація серверів</t>
  </si>
  <si>
    <t>Закупівля та модернізація мережевого обладнання</t>
  </si>
  <si>
    <t>Офісне обладнання для друку</t>
  </si>
  <si>
    <t>Офісне обладнання для друку, кондиціонгери для серверних кімнат</t>
  </si>
  <si>
    <t>Ліцензії для ПЗ для віддаленого 
адміністрування Dameware NT</t>
  </si>
  <si>
    <t>Ліцензії SCCM 2013</t>
  </si>
  <si>
    <t>Ліцензії Майкрософт візіо</t>
  </si>
  <si>
    <t>Ліцензії для ПЗ для РЗА служби (виявлення КЗ в мережах 110 кВ)</t>
  </si>
  <si>
    <t>Ліцензії для ПЗ nanoCAD Єлектро для ВТС, офіс</t>
  </si>
  <si>
    <t>3.1.2</t>
  </si>
  <si>
    <t>3.1.3</t>
  </si>
  <si>
    <t>3.6.1</t>
  </si>
  <si>
    <t>Модернізація дзвінкового центру</t>
  </si>
  <si>
    <t>3.7.1</t>
  </si>
  <si>
    <t>Інтеграція системи управління з дзвінковим центром</t>
  </si>
  <si>
    <t>Впровадження АСКОЕ споживачів</t>
  </si>
  <si>
    <t>3.8.1</t>
  </si>
  <si>
    <t>2.2.5</t>
  </si>
  <si>
    <t>Степанчук Олена Володимирівна</t>
  </si>
  <si>
    <t>Очікуваний річний економічний ефект (тис. грн без ПДВ) від:</t>
  </si>
  <si>
    <t>Вартість нової одиниці колісної техніки, що пропонується на заміну,
тис. грн (без ПДВ)</t>
  </si>
  <si>
    <t>тис. грн (без ПДВ)</t>
  </si>
  <si>
    <t>Вартість одиниці продукції,
тис. грн (без ПДВ)</t>
  </si>
  <si>
    <t>капіталовкладення,
тис. грн (без ПДВ)</t>
  </si>
  <si>
    <t>Побудова кол центру</t>
  </si>
  <si>
    <t>БКМ-2М на базі Т-150-К з гідравлічним приводом</t>
  </si>
  <si>
    <t>АП-18-09 ГАЗ-3309</t>
  </si>
  <si>
    <t>0019202.2.1</t>
  </si>
  <si>
    <t>ПЛІ-0,4кВ від ТП-147 с.Вовкушів Гощанського району</t>
  </si>
  <si>
    <t>ПЛІ-0,4кВ від ТП-58 с.Моквин Березнівського району</t>
  </si>
  <si>
    <t>с.Зелений Гай від ТП-318 Дубен.р-н (розвантажувальної ТП-100 кВА)</t>
  </si>
  <si>
    <t>0038702.1.1</t>
  </si>
  <si>
    <t>26,63</t>
  </si>
  <si>
    <t>Фінансування реалізації складової частини проекту, передбачене інвестиційною програмою на 2013р.,
тис. грн (без ПДВ)</t>
  </si>
  <si>
    <t>Радіомодеми в комплекті для Радивилівського РЕМ (9 ПС)</t>
  </si>
  <si>
    <t>Радіомодеми в комплекті для Дубенського РЕМ (10 ПС)</t>
  </si>
  <si>
    <t>Радіомодеми в комплекті для Гощанського РЕМ (3 ПС) </t>
  </si>
  <si>
    <t>Радіомодеми в комплекті для Березнівського РЕМ (3 ПС) </t>
  </si>
  <si>
    <t>Радіомодеми в комплекті для Острозького РЕМ (8 ПС)</t>
  </si>
  <si>
    <t>Побудова системи телемеханіки в Гощанському РЕМ (2 ПС)</t>
  </si>
  <si>
    <t>Побудова системи телемеханіки в Березнівському РЕМ (2 ПС)   </t>
  </si>
  <si>
    <t>Реклоузери для Сарненського РЕМ (2 ПС) </t>
  </si>
  <si>
    <t>Реклоузери для Млинівського РЕМ (1 ПС) </t>
  </si>
  <si>
    <t>Будиночок Радивилівського РЕМ (1 ПС)   </t>
  </si>
  <si>
    <t>Побудова системи телемеханіки в Радивилівського РЕМ (8 ПС)</t>
  </si>
  <si>
    <t>Радіомодеми в комплекті для Дубенського РЕМ(10 ПС)</t>
  </si>
  <si>
    <t>Радіомодеми в комплекті для Березнівського РЕМ(3 ПС) </t>
  </si>
  <si>
    <t>Будиночок Радивилівський РЕМ (1 ПС)   </t>
  </si>
  <si>
    <t>Закупівля блоків ББЖ для серверних приміщень в РЕМах</t>
  </si>
  <si>
    <t>Ліцензування програмного забезпечення Microsoft</t>
  </si>
  <si>
    <t>3.1.4</t>
  </si>
  <si>
    <t>Реконструкція КЛ-10 кВ</t>
  </si>
  <si>
    <t>Реконструкція КЛ-0,4 кВ</t>
  </si>
  <si>
    <t>Проектні роботи КЛ 10-0,4 Кв</t>
  </si>
  <si>
    <t>Модернізація ПС-110/35кВ та ПС-35/10кВ з встановленням трансформаторів струму 10кВ</t>
  </si>
  <si>
    <t>ПЛІ-0,4кВ від ТП-139 с.Бригадирівка Радивилівський.район</t>
  </si>
  <si>
    <t>КЛ-10кВ м.Острог від ТП-33 - ТП-37 (АСБ 3х120)</t>
  </si>
  <si>
    <t>2. Розрахунок джерел фінансування інвестиційної програми на 2014рік (тис. грн без ПДВ)</t>
  </si>
  <si>
    <t>6. Етапи виконання заходів інвестиційної програми на 2014 рік</t>
  </si>
  <si>
    <t>4.5. Стан комп'ютерної техніки на початок 2014 року</t>
  </si>
  <si>
    <r>
      <t xml:space="preserve">Всього на </t>
    </r>
    <r>
      <rPr>
        <u/>
        <sz val="11"/>
        <rFont val="Times New Roman"/>
        <family val="1"/>
        <charset val="204"/>
      </rPr>
      <t xml:space="preserve">2014 </t>
    </r>
    <r>
      <rPr>
        <sz val="11"/>
        <rFont val="Times New Roman"/>
        <family val="1"/>
        <charset val="204"/>
      </rPr>
      <t xml:space="preserve">- </t>
    </r>
    <r>
      <rPr>
        <u/>
        <sz val="11"/>
        <rFont val="Times New Roman"/>
        <family val="1"/>
        <charset val="204"/>
      </rPr>
      <t xml:space="preserve">2018 </t>
    </r>
    <r>
      <rPr>
        <sz val="11"/>
        <rFont val="Times New Roman"/>
        <family val="1"/>
        <charset val="204"/>
      </rPr>
      <t>рр (без ПДВ)</t>
    </r>
  </si>
  <si>
    <t>Технічний стан на початок 2014 року</t>
  </si>
  <si>
    <t>Обсяги запланованих робіт на 2014 рік</t>
  </si>
  <si>
    <t>Станом на початок 2014 року</t>
  </si>
  <si>
    <t>4.3. Стан комерційного обліку електричної енергії на початок 2014року</t>
  </si>
  <si>
    <t>Кількість трансформаторів, установлення яких передбачено інвестиційною програмою на 2014 рік, шт.</t>
  </si>
  <si>
    <t>4.6.2. Розрахунок економічної ефективності закупівлі колісної техніки на 2014 рік</t>
  </si>
  <si>
    <r>
      <t xml:space="preserve">Всього на </t>
    </r>
    <r>
      <rPr>
        <u/>
        <sz val="11"/>
        <rFont val="Times New Roman"/>
        <family val="1"/>
        <charset val="204"/>
      </rPr>
      <t>2014</t>
    </r>
    <r>
      <rPr>
        <sz val="11"/>
        <rFont val="Times New Roman"/>
        <family val="1"/>
        <charset val="204"/>
      </rPr>
      <t>-</t>
    </r>
    <r>
      <rPr>
        <u/>
        <sz val="11"/>
        <rFont val="Times New Roman"/>
        <family val="1"/>
        <charset val="204"/>
      </rPr>
      <t>2018</t>
    </r>
    <r>
      <rPr>
        <sz val="11"/>
        <rFont val="Times New Roman"/>
        <family val="1"/>
        <charset val="204"/>
      </rPr>
      <t>рр. (без ПДВ)</t>
    </r>
  </si>
  <si>
    <t>З</t>
  </si>
  <si>
    <t>п/с "Утеплювач" ТП-АБ                 "ст. Костопіль"</t>
  </si>
  <si>
    <t>ТП 312,310            ТП-334               "ст. Костопіль"</t>
  </si>
  <si>
    <t>п/с "Рокитно"               ЗТП                        "ст. Рокитно"</t>
  </si>
  <si>
    <t>ТП 32   Ввід Т2          БО  "ст. Сарни"</t>
  </si>
  <si>
    <t>ТП 57                 Рівне РП-13</t>
  </si>
  <si>
    <t>ТП 14                 Рівне ТП-165</t>
  </si>
  <si>
    <t>ТП 208  табір "Експрес"         с. Олександрія</t>
  </si>
  <si>
    <t>п/с "Деражне" ПЛ 10кВ "Деражне-Грем'яче"</t>
  </si>
  <si>
    <t>ТП 191               с. Зелений Дуб</t>
  </si>
  <si>
    <t>КТП 262               с. Мочулки</t>
  </si>
  <si>
    <t>КТП 797                  с. Мочулки</t>
  </si>
  <si>
    <t>ЗТП 238  ПЛ10кВ "Залізниця"</t>
  </si>
  <si>
    <t>п/с "Острожець" ПЛ 35кВ "Острожець-Луцьк"</t>
  </si>
  <si>
    <t>п/с "Остріг" ПЛ 35кВ "Остріг-М'якоти"</t>
  </si>
  <si>
    <t>п/с "Корець" ПЛ 35кВ "Корець-Мухарів"</t>
  </si>
  <si>
    <t>п/с "Кутянка" ПЛ 35кВ "Кутянка-Переросле"</t>
  </si>
  <si>
    <t>п/с "Милятин" ПЛ 35кВ "Милятин-Головлі"</t>
  </si>
  <si>
    <t>п/с "Нетішин" ПЛ 110кВ "Нетішин-Країв"</t>
  </si>
  <si>
    <t>п/с "Крупець" ПЛ 35кВ "Крупець-Білявці"</t>
  </si>
  <si>
    <t>п/с "Кутин" ПЛ 110кВ "Кутин-Любешів"</t>
  </si>
  <si>
    <t>п/с "Деражне" ПЛ 35кВ "Деражне-Цумань"</t>
  </si>
  <si>
    <t>п/с "Калинівка" ПЛ 35кВ "Калинівка-Жадківка"</t>
  </si>
  <si>
    <t>п/с "Олевськ" ПЛ 110кВ "Олевськ-Сновидовичі"</t>
  </si>
  <si>
    <t>п/с "Кременець" ПЛ 35кВ "Кременець-Шепетин"</t>
  </si>
  <si>
    <t xml:space="preserve">тис. грн </t>
  </si>
  <si>
    <t>1. Будівництво, модернізація та реконструкція/технічне переоснащення електричних мереж та обладнання</t>
  </si>
  <si>
    <t>Реконструкція/технічне переоснащення ПЛ-0,4 кВ самоутримним ізольованим проводом</t>
  </si>
  <si>
    <t xml:space="preserve">ПЛ-10кВ с.Вовкушів від ТП-147  </t>
  </si>
  <si>
    <t>с.Вовкушів від ТП-147 (розвантажувальної ТП-100 кВА)</t>
  </si>
  <si>
    <t>с.Вовкушів ТП-147 (заміна існуючої ТП-100кВА)</t>
  </si>
  <si>
    <t>4.2.3</t>
  </si>
  <si>
    <t>4.2.3.1</t>
  </si>
  <si>
    <t xml:space="preserve">ПЛ-10 кВ від ТП-12 с.Дубівка </t>
  </si>
  <si>
    <t>4.2.3.2</t>
  </si>
  <si>
    <t>с.Дубівка ТП-12  (заміна існуючої 160 на 63 з перенесенням в центр навантаження)</t>
  </si>
  <si>
    <t>4.2.4</t>
  </si>
  <si>
    <t>4.2.5</t>
  </si>
  <si>
    <t>4.2.6</t>
  </si>
  <si>
    <t>4.2.7</t>
  </si>
  <si>
    <t>4.2.7.1</t>
  </si>
  <si>
    <t xml:space="preserve">ПЛ-10 кВ с.Олишва при перенесення існуючого ТП-71 </t>
  </si>
  <si>
    <t>4.2.8</t>
  </si>
  <si>
    <t>4.2.9</t>
  </si>
  <si>
    <t>4.2.10</t>
  </si>
  <si>
    <t>4.2.11</t>
  </si>
  <si>
    <t>4.2.12</t>
  </si>
  <si>
    <t>4.2.13</t>
  </si>
  <si>
    <t>4.2.13.1</t>
  </si>
  <si>
    <t xml:space="preserve">ПЛ-10кВ при перенесенні ТП-353 с.Варковичі </t>
  </si>
  <si>
    <t>4.2.13.2</t>
  </si>
  <si>
    <t xml:space="preserve">Переніс діючої ТП-160кВА в с.Варковичі </t>
  </si>
  <si>
    <t>4.2.14</t>
  </si>
  <si>
    <t>4.2.15</t>
  </si>
  <si>
    <t>4.2.16</t>
  </si>
  <si>
    <t>4.2.17</t>
  </si>
  <si>
    <t>4.2.18</t>
  </si>
  <si>
    <t>4.2.18.1</t>
  </si>
  <si>
    <t xml:space="preserve">ПЛ-10кВ при перенесенні ТП-54 с.Моквин </t>
  </si>
  <si>
    <t>4.2.18.2</t>
  </si>
  <si>
    <t>с.Моквин ТП-54 (заміна існуючої ТП-160кВА)</t>
  </si>
  <si>
    <t>4.2.19</t>
  </si>
  <si>
    <t>4.2.19.1</t>
  </si>
  <si>
    <t xml:space="preserve">ПЛ-10кВ с.Яснобір  від ТП-45 </t>
  </si>
  <si>
    <t>4.2.19.2</t>
  </si>
  <si>
    <t>с.Яснобір ТП-45 (розвантажувальної ТП-160 кВА)</t>
  </si>
  <si>
    <t>4.2.20</t>
  </si>
  <si>
    <t>7.2.1</t>
  </si>
  <si>
    <t>7.2.1.1</t>
  </si>
  <si>
    <t>ПЛ-10кВ ЗТП-33-ЗТП-37 №129</t>
  </si>
  <si>
    <t>7.2.2</t>
  </si>
  <si>
    <t>7.2.3</t>
  </si>
  <si>
    <t>7.2.4</t>
  </si>
  <si>
    <t>7.2.5</t>
  </si>
  <si>
    <t>7.2.6</t>
  </si>
  <si>
    <t>7.2.7</t>
  </si>
  <si>
    <t>7.2.8</t>
  </si>
  <si>
    <t>7.2.9</t>
  </si>
  <si>
    <t>8.3</t>
  </si>
  <si>
    <t>11.1.1.1</t>
  </si>
  <si>
    <t xml:space="preserve">ПЛІ 0.4кВ в с.Добривода від розв. ТП-364 </t>
  </si>
  <si>
    <t>11.1.1.2</t>
  </si>
  <si>
    <t xml:space="preserve">ПЛ-10кВ с.Добривода від ТП-364 </t>
  </si>
  <si>
    <t>11.1.2.1</t>
  </si>
  <si>
    <t xml:space="preserve">ПЛІ 0.4кВ в с.Михайлівка від розв.ТП-322 </t>
  </si>
  <si>
    <t>11.1.2.2</t>
  </si>
  <si>
    <t xml:space="preserve">ПЛ-10кВ с.Михайлівка від ТП-322 </t>
  </si>
  <si>
    <t>11.1.3.1</t>
  </si>
  <si>
    <t xml:space="preserve">ПЛІ 0.4кВ в с.Шубків від розв.ТП-270 </t>
  </si>
  <si>
    <t>11.1.3.2</t>
  </si>
  <si>
    <t xml:space="preserve">ПЛ-10кВ с.Шубків від ТП-270 </t>
  </si>
  <si>
    <t>11.1.4.1</t>
  </si>
  <si>
    <t xml:space="preserve">ПЛІ 0.4кВ в с.Борбин від розв.ТП-296 </t>
  </si>
  <si>
    <t>11.1.4.2</t>
  </si>
  <si>
    <t xml:space="preserve">ПЛ-10кВ с.Борбин від ТП-296 </t>
  </si>
  <si>
    <t>11.1.5.1</t>
  </si>
  <si>
    <t xml:space="preserve">ПЛІ 0.4кВ в с.Новоукраїнка від розв.ТП-298 </t>
  </si>
  <si>
    <t>11.1.5.2</t>
  </si>
  <si>
    <t xml:space="preserve">ПЛ-10кВ с.Новоукраїнка від ТП-298 </t>
  </si>
  <si>
    <t>11.1.6.1</t>
  </si>
  <si>
    <t xml:space="preserve">ПЛІ 0.4кВ в с.Хорів від розв. ТП-211 </t>
  </si>
  <si>
    <t>11.1.6.2</t>
  </si>
  <si>
    <t xml:space="preserve">ПЛ-10кВ с.Хорів від ТП-211 </t>
  </si>
  <si>
    <t>11.1.7.1</t>
  </si>
  <si>
    <t>ПЛІ 0.4кВ в с.Бродівське від розв. ТП-81</t>
  </si>
  <si>
    <t>11.1.7.2</t>
  </si>
  <si>
    <t xml:space="preserve">ПЛ-10кВ с.Бродівське від ТП-81 </t>
  </si>
  <si>
    <t>11.1.8.1</t>
  </si>
  <si>
    <t xml:space="preserve">ПЛІ 0.4кВ в с.Переброди від розв.ТП-381 </t>
  </si>
  <si>
    <t>11.1.8.2</t>
  </si>
  <si>
    <t xml:space="preserve">ПЛ-10кВ с.Переброди від ТП-381 </t>
  </si>
  <si>
    <t>11.1.9.1</t>
  </si>
  <si>
    <t xml:space="preserve">ПЛІ 0.4кВ в с.Бережки від розв.ТП-32 </t>
  </si>
  <si>
    <t>11.1.9.2</t>
  </si>
  <si>
    <t xml:space="preserve">ПЛ-10кВ с.Бережки від ТП-32 </t>
  </si>
  <si>
    <t>11.1.10.1</t>
  </si>
  <si>
    <t xml:space="preserve">ПЛІ 0.4кВ в с.Прикладники від розв.ТП-59 </t>
  </si>
  <si>
    <t>11.1.10.2</t>
  </si>
  <si>
    <t xml:space="preserve">ПЛ-10кВ с.Прикладники від ТП-59 </t>
  </si>
  <si>
    <t>11.1.11.1</t>
  </si>
  <si>
    <t xml:space="preserve">ПЛІ 0.4кВ в с.Богдашів від розв.ТП-415 </t>
  </si>
  <si>
    <t>11.1.11.2</t>
  </si>
  <si>
    <t xml:space="preserve">ПЛ-10кВ с.Богдашів  від ТП-415 </t>
  </si>
  <si>
    <t>11.1.11.3</t>
  </si>
  <si>
    <t>11.1.12.1</t>
  </si>
  <si>
    <t xml:space="preserve">ПЛІ 0.4кВ в с.Томахів від розв. ТП-7 </t>
  </si>
  <si>
    <t>11.1.12.2</t>
  </si>
  <si>
    <t xml:space="preserve">ПЛ-10кВ с.Томахів від ТП-7 </t>
  </si>
  <si>
    <t>11.1.13.1</t>
  </si>
  <si>
    <t xml:space="preserve">ПЛІ 0.4кВ в с.Томахів від розв. ТП-8 </t>
  </si>
  <si>
    <t>11.1.13.2</t>
  </si>
  <si>
    <t xml:space="preserve">ПЛ-10кВ с.Томахів від ТП-8 </t>
  </si>
  <si>
    <t>11.1.14.1</t>
  </si>
  <si>
    <t xml:space="preserve">ПЛІ 0.4кВ в с.Зелений Гай від розв.ТП-318 </t>
  </si>
  <si>
    <t>11.1.14.2</t>
  </si>
  <si>
    <t xml:space="preserve">ПЛ-10кВ с.Зелений Гай від ТП-318  </t>
  </si>
  <si>
    <t>5.1.1. Обсяги будівництва, реконструкції та модернізації об'єктів електричних мереж
на прогнозний період</t>
  </si>
  <si>
    <t>Затверджена кошторисна вартість,
тис. грн
(без ПДВ)</t>
  </si>
  <si>
    <t>2013 (12 міс)</t>
  </si>
  <si>
    <t>Ст.30-44</t>
  </si>
  <si>
    <t>Ст.45</t>
  </si>
  <si>
    <t>Ст.46-52</t>
  </si>
  <si>
    <t>Ст.53-56</t>
  </si>
  <si>
    <t>Ст.57-58</t>
  </si>
  <si>
    <t>Ст.59-60</t>
  </si>
  <si>
    <t>Ст.61</t>
  </si>
  <si>
    <t>Ст.62</t>
  </si>
  <si>
    <t>Ст.63-64</t>
  </si>
  <si>
    <t>Ст.65-66</t>
  </si>
  <si>
    <t>Ст.67-68</t>
  </si>
  <si>
    <t>Ст.69-70</t>
  </si>
  <si>
    <t>Ст.71-72</t>
  </si>
  <si>
    <t>Ст.73</t>
  </si>
  <si>
    <t>Ст.74</t>
  </si>
  <si>
    <t>Ст.75</t>
  </si>
  <si>
    <t>4.2.21</t>
  </si>
  <si>
    <t>ПЛІ-0,4кВ від ТП-46 с.Хотинь Березнівський район</t>
  </si>
  <si>
    <t>0003300.1</t>
  </si>
  <si>
    <t>4.2.22</t>
  </si>
  <si>
    <t>4.2.21.1</t>
  </si>
  <si>
    <t>с.Хотинь ТП-46 (заміна існуючої ТП-100кВА на ТП-160кВА)</t>
  </si>
  <si>
    <t>ПЛІ-0,4кВ від ТП-426 с.Ново-Українка Рівненський район</t>
  </si>
  <si>
    <t>с.Ново-Українка ТП-426 (заміна існуючої ТП-250кВА на ТП-400кВА)</t>
  </si>
  <si>
    <t>4.2.23</t>
  </si>
  <si>
    <t>4.2.22.1</t>
  </si>
  <si>
    <t>0031000.7</t>
  </si>
  <si>
    <t>ПЛІ-0,4кВ від ТП-13 с.Дубівка Володимирецький район</t>
  </si>
  <si>
    <t>13000.2</t>
  </si>
  <si>
    <t>4.2.24</t>
  </si>
  <si>
    <t>ПЛІ-0,4кВ від ТП-26 с.Маслянка Млинівський район</t>
  </si>
  <si>
    <t>0022901.4</t>
  </si>
  <si>
    <t>4.2.25</t>
  </si>
  <si>
    <t>ПЛІ-0,4кВ від ТП-396 с.Маслянка Млинівський район</t>
  </si>
  <si>
    <t>0036201.5</t>
  </si>
  <si>
    <t>4.2.26</t>
  </si>
  <si>
    <t>ПЛІ-0,4кВ від ТП-210 м.Рівне</t>
  </si>
  <si>
    <t>0190400.1</t>
  </si>
  <si>
    <t>4.2.27</t>
  </si>
  <si>
    <t>ПЛІ-0,4кВ від ТП-68 с.Крута Слобода Рокитнівський район</t>
  </si>
  <si>
    <t>017200.12</t>
  </si>
  <si>
    <t>7.2.10</t>
  </si>
  <si>
    <t>7.2.11</t>
  </si>
  <si>
    <t>0153500.1</t>
  </si>
  <si>
    <t>КЛ-10кВ м.Рівне від ПС "Радіозавод" - ТП-356 (АСБ 3х120)</t>
  </si>
  <si>
    <t>КЛ-10кВ м.Сарни л.79-41 "Психлікарня" від оп.№129 до ТП-94 (АСБ 3х120)</t>
  </si>
  <si>
    <t xml:space="preserve"> ПЛ-10кВ оп. №129 - проектна оп.№1</t>
  </si>
  <si>
    <t>014700.12</t>
  </si>
  <si>
    <t>7.2.11.1</t>
  </si>
  <si>
    <t>КЛ-0,4 кВ (АСБ 4х120) ТП-155 - Бандери, 36 в м.Рівне</t>
  </si>
  <si>
    <t>8.2.4</t>
  </si>
  <si>
    <t>039400.14.4</t>
  </si>
  <si>
    <t>8.2.5</t>
  </si>
  <si>
    <t>КЛ-0,4 кВ (АСБ 4х120) ТП-126 - Бандери, 43-36, (між будинками) в м.Рівне</t>
  </si>
  <si>
    <t>037500.12.7</t>
  </si>
  <si>
    <t>Заміна МВ-10 кВ на ВВ-10 кВ ПС 110/10 кВ "Кутин" з пристроями ПРЗА та комплектами ОПН 10 кВ</t>
  </si>
  <si>
    <t>9.2.2</t>
  </si>
  <si>
    <t>Заміна МВ-10 кВ на ВВ-10 кВ ПС 35/10 кВ "Острожець" з пристроями ПРЗА та комплектами ОПН 10 кВ</t>
  </si>
  <si>
    <t>Проектні роботи (ПС 35/6 кВ Здолбунів-71)</t>
  </si>
  <si>
    <t>12</t>
  </si>
  <si>
    <t>12.2.1</t>
  </si>
  <si>
    <t>Резервне живлення ОДС, ОДГ, кол-центру та адміністративної будівлі ПАТ "Рівнеобленерго"</t>
  </si>
  <si>
    <t>амортизація-481,25;  дохід від реактивної е/е-144,33</t>
  </si>
  <si>
    <t>4.6.1. Аналіз колісної техніки станом на початок 2014 року</t>
  </si>
  <si>
    <t xml:space="preserve">непридатна </t>
  </si>
  <si>
    <t>ГАЗ-33081</t>
  </si>
  <si>
    <t>АП-18-09</t>
  </si>
  <si>
    <t xml:space="preserve">Т-150К </t>
  </si>
  <si>
    <t>АП-18-09 ГАЗ-33081</t>
  </si>
  <si>
    <t>амортизація-13 128,9; інші доходи-5 559,1</t>
  </si>
  <si>
    <t>амортизація-395,2; інші доходи - 273,6</t>
  </si>
  <si>
    <t>амортизація- 451,76;  інші доходи-308,27</t>
  </si>
  <si>
    <t>амортизація-4075,62; інші доходи-465,42</t>
  </si>
  <si>
    <t xml:space="preserve">амортизація-157,56;  інші доходи-80,08 </t>
  </si>
  <si>
    <t>амортизація-97,28;інші доходи-45,98</t>
  </si>
  <si>
    <t>амортизація-1963,12; інші доходи-692,24</t>
  </si>
  <si>
    <t>амортизація-1102; інші доходи-106,02</t>
  </si>
  <si>
    <t>амортизація-375; інші доходи-259,62</t>
  </si>
  <si>
    <t>Амортизація-354,12тис.грн. Інші доходи-389,19</t>
  </si>
  <si>
    <t>Радіомодеми для Рівненського міського РЕМ (18 РП)</t>
  </si>
  <si>
    <t>Монтажний комплект для радіо модемів (9 ПС)</t>
  </si>
  <si>
    <t>Монтажний комплект для радіо модемів (18 РП Рівне)</t>
  </si>
  <si>
    <t>Монтажний комплект для радіо модемів (24 ПС)</t>
  </si>
  <si>
    <t>Побудова системи телемеханіки Рівне місто 18 РП</t>
  </si>
  <si>
    <t>ОІК для обласної задачі</t>
  </si>
  <si>
    <t>Побудова верхнього рівня ТМ</t>
  </si>
  <si>
    <t>Цифрові екрани для ОДС</t>
  </si>
  <si>
    <t>1.1.5</t>
  </si>
  <si>
    <t>1.1.6</t>
  </si>
  <si>
    <t>1.1.7</t>
  </si>
  <si>
    <t>1.1.8</t>
  </si>
  <si>
    <t>Побудова телемеханіки на 18 РП Рівне</t>
  </si>
  <si>
    <t>Побудова ОІК для обласної задачі</t>
  </si>
  <si>
    <t>Побудова верхнього рівня телемеханіки</t>
  </si>
  <si>
    <t>1.2.5</t>
  </si>
  <si>
    <t>1.2.6</t>
  </si>
  <si>
    <t>1.2.7</t>
  </si>
  <si>
    <t>1.2.8</t>
  </si>
  <si>
    <t>1.2.9</t>
  </si>
  <si>
    <t xml:space="preserve">ЗІП </t>
  </si>
  <si>
    <t>Цифрові екрани для ОДС, ОДГ</t>
  </si>
  <si>
    <t>ЗІП архіваторів мови</t>
  </si>
  <si>
    <t>Впровадження системи документообігу</t>
  </si>
  <si>
    <t>3.4.1</t>
  </si>
  <si>
    <t>впровадження системи документообігу</t>
  </si>
  <si>
    <t>Витрати на виніс 1(3)-фазних лічильників на фасад будинку підрядним способом при реконструкції ПЛ-0,4 кВ</t>
  </si>
  <si>
    <t>Витрати на заміну 1(3)-фазних лічильників на нові (дефектні лічильники)</t>
  </si>
  <si>
    <t>1.4.4</t>
  </si>
  <si>
    <t xml:space="preserve">Витрати на виніс 1(3)-фазних лічильників власними силами на фасад будинків </t>
  </si>
  <si>
    <t>амортизація</t>
  </si>
  <si>
    <t>інші доходи</t>
  </si>
  <si>
    <t>3.1.1.</t>
  </si>
  <si>
    <t>30041803.0</t>
  </si>
  <si>
    <t>так (наказ)</t>
  </si>
  <si>
    <t>підрядний</t>
  </si>
  <si>
    <t>0087002.1.1</t>
  </si>
  <si>
    <t>013700.10.1</t>
  </si>
  <si>
    <t>0046900.7.2</t>
  </si>
  <si>
    <t>0046402.3.1</t>
  </si>
  <si>
    <t>0030900.4.1</t>
  </si>
  <si>
    <t>0021702.2.2</t>
  </si>
  <si>
    <t>0034400.2.3</t>
  </si>
  <si>
    <t>0034100.2.1</t>
  </si>
  <si>
    <t>0038301.1</t>
  </si>
  <si>
    <t>12902.1.1</t>
  </si>
  <si>
    <t>02000010</t>
  </si>
  <si>
    <t>0037700.7</t>
  </si>
  <si>
    <t>034601.10.2</t>
  </si>
  <si>
    <t>123900.2.1</t>
  </si>
  <si>
    <t>047600.10.1</t>
  </si>
  <si>
    <t>0061801.1.2</t>
  </si>
  <si>
    <t>0036800.6</t>
  </si>
  <si>
    <t>4.2. Інформація щодо лічильників електричної енергії на початок  2014 року</t>
  </si>
  <si>
    <t>Кількість лічильників, 
що підлягають заміні за планом у (прогнозний період)* році, шт.</t>
  </si>
  <si>
    <t>Фактично 
замінено у (базовий період)* році, шт.</t>
  </si>
  <si>
    <t>0052700.6</t>
  </si>
  <si>
    <t>4.2.2.2</t>
  </si>
  <si>
    <t>0046502.3</t>
  </si>
  <si>
    <t>4.2.2.3</t>
  </si>
  <si>
    <t>0180302.1</t>
  </si>
  <si>
    <t xml:space="preserve">ПЛI-0,4 кВ від ТП-80 м.Рівне </t>
  </si>
  <si>
    <t>0193102.1</t>
  </si>
  <si>
    <t xml:space="preserve">ПЛІ-0.4кВ від ТП-276 м.Рівне </t>
  </si>
  <si>
    <t>0029700.1</t>
  </si>
  <si>
    <t>049900.11</t>
  </si>
  <si>
    <t>0082302.1</t>
  </si>
  <si>
    <t>0019600.2</t>
  </si>
  <si>
    <t>26402.4</t>
  </si>
  <si>
    <t>0040700.9</t>
  </si>
  <si>
    <t>040800.12</t>
  </si>
  <si>
    <t>4.2.2.21</t>
  </si>
  <si>
    <t>4.2.2.22</t>
  </si>
  <si>
    <t>0023300.5</t>
  </si>
  <si>
    <t xml:space="preserve">Заміна 1-фазних відгалужень до житлових будинків на ізольовані </t>
  </si>
  <si>
    <t>типовий проект</t>
  </si>
  <si>
    <t>господарський</t>
  </si>
  <si>
    <t xml:space="preserve">Заміна 3-фазних відгалужень до житлових будинків на ізольовані </t>
  </si>
  <si>
    <t>0125700.4</t>
  </si>
  <si>
    <t>КЛ-10кВ в м.Рівне ТП-225 - ТП-381 (АСБ 3х120)</t>
  </si>
  <si>
    <t>0131300.3</t>
  </si>
  <si>
    <t>КЛ-10кВ м.Рівне ПС "Східна", №12 - РП-22 (АСБ 3х240)</t>
  </si>
  <si>
    <t>0154300.1</t>
  </si>
  <si>
    <t>КЛ-10кВ м.Рівне ПС "Східна", №52 - РП-22 (АСБ 3х240)</t>
  </si>
  <si>
    <t>0132800.3</t>
  </si>
  <si>
    <t>КЛ-10кВ м.Рівне ПС "Західна" - ТП-178 (АСБ 3х120)</t>
  </si>
  <si>
    <t>0025000.5</t>
  </si>
  <si>
    <t>КЛ-10кВ м.Здолбунів ТП-40 - ТП-19 (АСБ 3х120)</t>
  </si>
  <si>
    <t>0006100.5</t>
  </si>
  <si>
    <t>КЛ-10кВ смт.Зарічне від ТП-133 - ТП-28 (АСБ 3х120)</t>
  </si>
  <si>
    <t>КЛ-10кВ с.Богдашів від ТП-415 (АСБ 3х95)</t>
  </si>
  <si>
    <t>0020500.7</t>
  </si>
  <si>
    <t>0020800.2</t>
  </si>
  <si>
    <t xml:space="preserve">КЛ-10кВ м.Костопіль ТП-340 - ТП-341 (АСБ 3х120)         </t>
  </si>
  <si>
    <t>0021500.7</t>
  </si>
  <si>
    <t xml:space="preserve">КЛ-10кВ м.Костопіль ТП-353 - ТП-249 (АСБ 3х120)               </t>
  </si>
  <si>
    <t>072000.13.2</t>
  </si>
  <si>
    <t>КЛ-0,4 кВ (АВБбшв 4х120) ТП-25 - "Дубенська, 9" в м.Рівне</t>
  </si>
  <si>
    <t>8.2.2</t>
  </si>
  <si>
    <t>072000.14.2</t>
  </si>
  <si>
    <t>КЛ-0,4 кВ (АВБбшв 4х120) ТП-25 - "Дубенська, 217" в м.Рівне</t>
  </si>
  <si>
    <t>8.2.3</t>
  </si>
  <si>
    <t>0015001.3.1</t>
  </si>
  <si>
    <t>КЛ-0,4 кВ (АВБбшв 3х95+1х50) ЗТП-268 - "Садочок" (між будинками) в с.м.т. Млинів</t>
  </si>
  <si>
    <t>11.1.2</t>
  </si>
  <si>
    <t>11.1.3</t>
  </si>
  <si>
    <t>11.1.4</t>
  </si>
  <si>
    <t>11.1.5</t>
  </si>
  <si>
    <t>11.1.6</t>
  </si>
  <si>
    <t>11.1.7</t>
  </si>
  <si>
    <t>11.1.8</t>
  </si>
  <si>
    <t>11.1.9</t>
  </si>
  <si>
    <t>11.1.10</t>
  </si>
  <si>
    <t>11.1.11</t>
  </si>
  <si>
    <t>11.1.12</t>
  </si>
  <si>
    <t>11.1.13</t>
  </si>
  <si>
    <t>11.1.14</t>
  </si>
  <si>
    <t>Будівництво нових ЛЕП (КЛ, ПЛ), усього,з них:</t>
  </si>
  <si>
    <t>Реконструкція ЛЕП (КЛ, ПЛ), усього,з них:</t>
  </si>
  <si>
    <t>Будівництво нових ПС, РП та ТП, усього,з них:</t>
  </si>
  <si>
    <t>2014-2018рр</t>
  </si>
  <si>
    <t>4.8. Загальна характеристика ПАТ "Рівнеобленерго"</t>
  </si>
  <si>
    <t>млн.
кВт·год</t>
  </si>
  <si>
    <t>млн.грн</t>
  </si>
  <si>
    <t>ВАЗ-21213 ВК4612АА</t>
  </si>
  <si>
    <t>Легковий службовий</t>
  </si>
  <si>
    <t>СМіТ</t>
  </si>
  <si>
    <t>ВАЗ-212140 ВК6475ВН</t>
  </si>
  <si>
    <t>легковий-В універсал</t>
  </si>
  <si>
    <t>ГАЗ-2705  ВК3106АР</t>
  </si>
  <si>
    <t>Електротехнічна лабо</t>
  </si>
  <si>
    <t>УАЗ-3741 ВК1645АВ</t>
  </si>
  <si>
    <t>Вантпасажирський фур</t>
  </si>
  <si>
    <t>ЗІЛ-131А   ВК3132АР</t>
  </si>
  <si>
    <t>Вишка телескопічна Т</t>
  </si>
  <si>
    <t>ГАЗ-5327 ВК3133АР</t>
  </si>
  <si>
    <t>ГАЗ-5327 ВК3110АР</t>
  </si>
  <si>
    <t>ГАЗ-6627 ВК3130АР</t>
  </si>
  <si>
    <t>ГАЗ66В  ВК3111АР</t>
  </si>
  <si>
    <t>Вантажний фургон</t>
  </si>
  <si>
    <t>ГАЗ-66 ВК3134АР</t>
  </si>
  <si>
    <t>БОГДАН-231040 ВК5629ВН</t>
  </si>
  <si>
    <t>Фургон малотонажний</t>
  </si>
  <si>
    <t>ГАЗ-33023 ВК3125АР</t>
  </si>
  <si>
    <t>Вантпасажирський бор</t>
  </si>
  <si>
    <t>ГАЗ-32212 ВК3104АР</t>
  </si>
  <si>
    <t>ГАЗ-33023 ВК5626АВ</t>
  </si>
  <si>
    <t>ГАЗ-33023 ВК3121АР</t>
  </si>
  <si>
    <t>ГАЗ-33023 ВК3120АР</t>
  </si>
  <si>
    <t>УАЗ-2206 46320РВ</t>
  </si>
  <si>
    <t>Мікроавтобус</t>
  </si>
  <si>
    <t>ГАЗ-33023 ВК9317АС</t>
  </si>
  <si>
    <t>ЗІЛ-5301 БО 07304РО</t>
  </si>
  <si>
    <t>ЗІЛ-5301 БО 07300РО</t>
  </si>
  <si>
    <t>ЗІЛ-5301 БО 01497РО</t>
  </si>
  <si>
    <t>ЗІЛ-5301 БО ВК6134АВ</t>
  </si>
  <si>
    <t>ІЖ-2717-90 ВК7448АВ</t>
  </si>
  <si>
    <t>ЗІЛ-131 ВК9632АС</t>
  </si>
  <si>
    <t>ГАЗ-6628 ВК3101АР</t>
  </si>
  <si>
    <t>ВАЗ-21093 ВК3124АР</t>
  </si>
  <si>
    <t>ВАЗ-21104 ВК2538АН</t>
  </si>
  <si>
    <t>ВАЗ-21104 ВК2539АН</t>
  </si>
  <si>
    <t>ВАЗ-21104 ВК3048АЕ</t>
  </si>
  <si>
    <t>ВАЗ-21213 ВК9616АС</t>
  </si>
  <si>
    <t>ВАЗ-21213 ВК9617АС</t>
  </si>
  <si>
    <t>ВАЗ-21213 ВК9618АС</t>
  </si>
  <si>
    <t>ВАЗ-21213 ВК4561АН</t>
  </si>
  <si>
    <t>ГАЗ-22171 ВК3112АР</t>
  </si>
  <si>
    <t>ФОЛЬКСВАГЕН -Т4 55001РВ</t>
  </si>
  <si>
    <t>ГАЗ-27057-111 ВК7524АА</t>
  </si>
  <si>
    <t>ГАЗ-32213 ВК3113АН</t>
  </si>
  <si>
    <t>ІЖ-2717-90 ВК7447АВ</t>
  </si>
  <si>
    <t>УАЗ-3741ВП6ТДА ВК1415АС</t>
  </si>
  <si>
    <t>ГАЗ-33023 ВК3114АР</t>
  </si>
  <si>
    <t>ГАЗ-33023 47009РВ</t>
  </si>
  <si>
    <t>ГАЗ-33023 ВК3119АР</t>
  </si>
  <si>
    <t>ГАЗ-33023 ВК3115АР</t>
  </si>
  <si>
    <t>ГАЗ-33023 ВК3105АР</t>
  </si>
  <si>
    <t>ГАЗ-33023 48305РВ</t>
  </si>
  <si>
    <t>ГАЗ-33023 ВК3144АР</t>
  </si>
  <si>
    <t>ЗІЛ ММЗ-4502 ВК3113АР</t>
  </si>
  <si>
    <t>Самоскид</t>
  </si>
  <si>
    <t>ЗІЛ 138 ВК3109АР</t>
  </si>
  <si>
    <t>Вантажний бортовий</t>
  </si>
  <si>
    <t>ЗІЛ 138 ВК3116АР</t>
  </si>
  <si>
    <t>УРАЛ 375 ВК3129АР</t>
  </si>
  <si>
    <t>ЗІЛ-5301АО ВК3118АР</t>
  </si>
  <si>
    <t>МАЗ-53371 ВК3126АР</t>
  </si>
  <si>
    <t>КАМАЗ-5320 ВК9314АС</t>
  </si>
  <si>
    <t>КАМАЗ-5410 ВК3127АР</t>
  </si>
  <si>
    <t>Сідловий тягач</t>
  </si>
  <si>
    <t>КАМАЗ-5410 ВК3117АР</t>
  </si>
  <si>
    <t>TOYOTA-CAMRY 55572РА</t>
  </si>
  <si>
    <t>TOYOTA-AVENSIS 77764РВ</t>
  </si>
  <si>
    <t>SKODA-OCTAVIA 55589РА</t>
  </si>
  <si>
    <t>SKODA-SUPERB ВК5000АА</t>
  </si>
  <si>
    <t>ГАЗ-3110 ВК3123АР</t>
  </si>
  <si>
    <t>ГАЗ-3110 72495РВ</t>
  </si>
  <si>
    <t>ВАЗ-21043 55669РВ</t>
  </si>
  <si>
    <t>ВАЗ-21041 ВК1796ВВ</t>
  </si>
  <si>
    <t>ГАЗ-5201 ВК5645ВВ</t>
  </si>
  <si>
    <t>Aвтопідйомник  ВС-18</t>
  </si>
  <si>
    <t>ЗІЛ-131 ВК3102АР</t>
  </si>
  <si>
    <t>Aвтопідйомник АГП-18</t>
  </si>
  <si>
    <t>КАМАЗ-43114 ВК4562АН</t>
  </si>
  <si>
    <t>Автопідйомник ВС-28К</t>
  </si>
  <si>
    <t>КРАЗ-250  ВК3103АР</t>
  </si>
  <si>
    <t>Автокран КС4574</t>
  </si>
  <si>
    <t xml:space="preserve"> 31 063,58</t>
  </si>
  <si>
    <t>КРАЗ-255 ВК3108АР</t>
  </si>
  <si>
    <t>Автокран КТА14</t>
  </si>
  <si>
    <t>МАЗ-8926 ВК6633ХХ</t>
  </si>
  <si>
    <t>Причіп</t>
  </si>
  <si>
    <t>МАЗ-8926 ВК6634ХХ</t>
  </si>
  <si>
    <t>ПП ВК2496ХХ</t>
  </si>
  <si>
    <t>Причіп ФУРГОН</t>
  </si>
  <si>
    <t>СЗАП-93271 04592РА</t>
  </si>
  <si>
    <t>Напівпричіп</t>
  </si>
  <si>
    <t>СЗАП-93271 04593РА</t>
  </si>
  <si>
    <t>Р-402 3129РВ</t>
  </si>
  <si>
    <t>Причіп-площадка</t>
  </si>
  <si>
    <t>ДВ-1733.33.22 Т1151РВ</t>
  </si>
  <si>
    <t>Автонавантажувач</t>
  </si>
  <si>
    <t>ДВ-1792.45.20 Т1150РВ</t>
  </si>
  <si>
    <t>ИЖ 27175-036  ВК9190АМ</t>
  </si>
  <si>
    <t>Вантажопасажирський</t>
  </si>
  <si>
    <t>AC-U 39094 ВП6 УАЗ-374194 ВК6442АО</t>
  </si>
  <si>
    <t>вантажопасажирський</t>
  </si>
  <si>
    <t>ГАЗ-2705  ВК6443АО</t>
  </si>
  <si>
    <t>ЕТЛ</t>
  </si>
  <si>
    <t>ГАЗ-32213-П12  ВК6441АО</t>
  </si>
  <si>
    <t>ГАЗ-33104-318 ВК9976АО</t>
  </si>
  <si>
    <t>вантажний фургон</t>
  </si>
  <si>
    <t>Тойота-Камрі  ВК3131АР</t>
  </si>
  <si>
    <t>легковий-В седан</t>
  </si>
  <si>
    <t>ГАЗ-31105-581 ВК3146АР</t>
  </si>
  <si>
    <t>ГАЗ-31105-581 ВК3145АР</t>
  </si>
  <si>
    <t>TK-U-3909-ВП6 УАЗ-3741  ВК9089АК</t>
  </si>
  <si>
    <t>TK-U-3909-ВП6 УАЗ-3741  ВК0036АМ</t>
  </si>
  <si>
    <t>TK-U-3909-ВП6 УАЗ-3741  ВК0034АМ</t>
  </si>
  <si>
    <t>TK-U-3909-ВП6 УАЗ-3741  ВК8249АК</t>
  </si>
  <si>
    <t>ГАЗ-2705-434  ВК0035АМ</t>
  </si>
  <si>
    <t>ВАЗ-21214  ВК0029АМ</t>
  </si>
  <si>
    <t>ВАЗ-21214  ВК0031АМ</t>
  </si>
  <si>
    <t>ВАЗ-21043-20  ВК7066АК</t>
  </si>
  <si>
    <t>ІЖ-27175-036  ВК6374АР</t>
  </si>
  <si>
    <t>ГАЗ-330232-414  ВК7781АР</t>
  </si>
  <si>
    <t>ГАЗ-33081  ВК5798АР</t>
  </si>
  <si>
    <t>АС-G 33104 АХУ-2  ВК9241АР</t>
  </si>
  <si>
    <t>AC-Y-27175-037-01  ВК0731АХ</t>
  </si>
  <si>
    <t>AC-U-39095  ВК0325АХ</t>
  </si>
  <si>
    <t>ГАЗ-33081 БКМ-317  ВК7452АХ</t>
  </si>
  <si>
    <t>бурокранова БКМ-317</t>
  </si>
  <si>
    <t>ГАЗ-33023  ВК9386ВА</t>
  </si>
  <si>
    <t>ВАЗ-212140  ВК9437ВА</t>
  </si>
  <si>
    <t>ГАЗ-5312 ВК4789АР</t>
  </si>
  <si>
    <t>ЗІЛ-431412  ВК4794АР</t>
  </si>
  <si>
    <t>Автокран КС-2561Д</t>
  </si>
  <si>
    <t>ВАЗ-2107 ВК4790АР</t>
  </si>
  <si>
    <t>Легковий</t>
  </si>
  <si>
    <t>ГАЗ-33023 ВК4788АР</t>
  </si>
  <si>
    <t>ГАЗ-33023 ВК4787АР</t>
  </si>
  <si>
    <t>УАЗ-3909 ВК4792АР</t>
  </si>
  <si>
    <t>ЗІЛ-5301ЕО 06319РО</t>
  </si>
  <si>
    <t>Aвтопідйомник  АП-15</t>
  </si>
  <si>
    <t>УАЗ-3909 77194РВ</t>
  </si>
  <si>
    <t>ВАЗ-21213 ВК9576АС</t>
  </si>
  <si>
    <t>УАЗ-3909 ВК2731АН</t>
  </si>
  <si>
    <t>2ПТС-4 5057РБ</t>
  </si>
  <si>
    <t>ГАЗ-5227 ВК4791АР</t>
  </si>
  <si>
    <t>АП ТВГ-15</t>
  </si>
  <si>
    <t>ГАЗ-6627 9806РВМ</t>
  </si>
  <si>
    <t>Бурова машина БМ-202</t>
  </si>
  <si>
    <t>ГАЗ-5227 ВК4793АР</t>
  </si>
  <si>
    <t>ЮМЗ-6-КЛ 3090РД</t>
  </si>
  <si>
    <t>Трактор-колісний</t>
  </si>
  <si>
    <t>Заміна ВВ-10 кВ на ПС 110 "Східна"</t>
  </si>
  <si>
    <t xml:space="preserve">господарський </t>
  </si>
  <si>
    <t>ПСЕ 3916РБ</t>
  </si>
  <si>
    <t>УАЗ-31512  ВК4786АР</t>
  </si>
  <si>
    <t>розпуск 2614РД</t>
  </si>
  <si>
    <t>Причіп-розпуск</t>
  </si>
  <si>
    <t>УАЗ-2206 ВК4796АР</t>
  </si>
  <si>
    <t>ВАЗ-212140 ВК5396ВН</t>
  </si>
  <si>
    <t>ГАЗ-2705 ВК4795АР</t>
  </si>
  <si>
    <t>AC-U 39095 ВП6  ВК8750ВА</t>
  </si>
  <si>
    <t>УАЗ-3909 00555РО</t>
  </si>
  <si>
    <t>УАЗ-3151 45859РВ</t>
  </si>
  <si>
    <t>УАЗ-2206 46331РВ</t>
  </si>
  <si>
    <t>ГАЗ-33023 46901РВ</t>
  </si>
  <si>
    <t>УАЗ-3909 03905РО</t>
  </si>
  <si>
    <t>ЗІЛ-431412 3047РВМ</t>
  </si>
  <si>
    <t>Автокран</t>
  </si>
  <si>
    <t>ВАЗ-21213 75439РВ</t>
  </si>
  <si>
    <t>ВАЗ-21213 65135РВ</t>
  </si>
  <si>
    <t>ВАЗ-212140 ВК5932ВН</t>
  </si>
  <si>
    <t>УАЗ-3909 ВП6ТК ВК9021АВ</t>
  </si>
  <si>
    <t>Т-150К 6646РД</t>
  </si>
  <si>
    <t>Буро-кранова Б-2500</t>
  </si>
  <si>
    <t>ГАЗ-52 7066РВН</t>
  </si>
  <si>
    <t>ГАЗ-52 8523РВН</t>
  </si>
  <si>
    <t>ГАЗ-330610 9577РВН</t>
  </si>
  <si>
    <t>ЮМЗ-6 4227РД</t>
  </si>
  <si>
    <t>ГАЗ-52-05 5442РВН</t>
  </si>
  <si>
    <t>ВАЗ-21043 45791РВ</t>
  </si>
  <si>
    <t>ВАЗ-21074 34726РВ</t>
  </si>
  <si>
    <t>УАЗ-469 7506РВА</t>
  </si>
  <si>
    <t>ЗІЛ-433362 05912РО</t>
  </si>
  <si>
    <t>Aвтопід  АП-17А-07</t>
  </si>
  <si>
    <t>ПСЕ-Ф-12.5 2525РБ</t>
  </si>
  <si>
    <t>ГАЗ-33023 45214РВ</t>
  </si>
  <si>
    <t>AC-U 39094 ВП6 УАЗ-374194 ВК4370АО</t>
  </si>
  <si>
    <t>ВАЗ-21214  ВК8781АК</t>
  </si>
  <si>
    <t>АС-U 39094 ВП6 УАЗ-374194 ВК9508АР</t>
  </si>
  <si>
    <t>ЗІЛ-5301ЕО 05827РО</t>
  </si>
  <si>
    <t>ГАЗ-5228 ВК8092АМ</t>
  </si>
  <si>
    <t>УАЗ-3962 ВК8094АМ</t>
  </si>
  <si>
    <t>УАЗ-330301 ВК8095АМ</t>
  </si>
  <si>
    <t>ВАЗ-212140 ВК5431ВН</t>
  </si>
  <si>
    <t>УАЗ-31514 ВК8119АМ</t>
  </si>
  <si>
    <t>ГАЗ-33023 ВК8091АМ</t>
  </si>
  <si>
    <t>УАЗ-3909 ВК8096АМ</t>
  </si>
  <si>
    <t>УАЗ-3909ВП6ТК 07047РО</t>
  </si>
  <si>
    <t>УАЗ-3909 ВК8097АМ</t>
  </si>
  <si>
    <t>ГАЗ-278489 ВК5817АН</t>
  </si>
  <si>
    <t>Бурмашина БКМ-317</t>
  </si>
  <si>
    <t>УАЗ-3909 54341РВ</t>
  </si>
  <si>
    <t>АС-U-39094 ВП-6 УАЗ-374194 ВК4939АО</t>
  </si>
  <si>
    <t>ВАЗ-212140  ВК8374ВА</t>
  </si>
  <si>
    <t>AC-U 39095 ВП6  ВК8377ВА</t>
  </si>
  <si>
    <t>УАЗ-3303 00159РО</t>
  </si>
  <si>
    <t>УАЗ-3909 ВПАХ6 ВК5359АА</t>
  </si>
  <si>
    <t>ЗІЛ-131 ВК2057АС</t>
  </si>
  <si>
    <t>Автопідйомник ВС-18</t>
  </si>
  <si>
    <t>ГАЗ-66 9259РВК</t>
  </si>
  <si>
    <t>Бурмашина БМ-302</t>
  </si>
  <si>
    <t>ГАЗ-5228 7929РВН</t>
  </si>
  <si>
    <t>УАЗ-3909 55737РВ</t>
  </si>
  <si>
    <t>ЗІЛ-131 7256РВО</t>
  </si>
  <si>
    <t>ГАЗ-5327 5321РВН</t>
  </si>
  <si>
    <t>ГАЗ-3327 2931РВМ</t>
  </si>
  <si>
    <t>ЗІЛ-431610 3067РВМ</t>
  </si>
  <si>
    <t>УАЗ-452 7117РВО</t>
  </si>
  <si>
    <t>УАЗ-3909 5961РВМ</t>
  </si>
  <si>
    <t>УАЗ-3303 00586РО</t>
  </si>
  <si>
    <t>ГАЗ-33023 46944РВ</t>
  </si>
  <si>
    <t>УАЗ-31514 54292РВ</t>
  </si>
  <si>
    <t>Легков універсал В</t>
  </si>
  <si>
    <t>УАЗ-3909 55729РВ</t>
  </si>
  <si>
    <t>УАЗ-3909 ВК0651АН</t>
  </si>
  <si>
    <t>ТАП3-755 4414РО</t>
  </si>
  <si>
    <t>Причіп ТАП3-755</t>
  </si>
  <si>
    <t>TK-U-3909-ВП6 УАЗ-3741  ВК9247АК</t>
  </si>
  <si>
    <t>ВАЗ-21043-20  ВК9255АК</t>
  </si>
  <si>
    <t>АС-U 39094 ВП6 УАЗ-374194 ВК9657АР</t>
  </si>
  <si>
    <t xml:space="preserve"> АС-U39094-ВП6  ВК9477АР</t>
  </si>
  <si>
    <t>вантпасажир фургон</t>
  </si>
  <si>
    <t>ВАЗ-212140  ВК1400АХ</t>
  </si>
  <si>
    <t>УАЗ-3909 ВК4113ВС</t>
  </si>
  <si>
    <t>ВАЗ-21213 40298РВ</t>
  </si>
  <si>
    <t>УАЗ-3909 06638РО</t>
  </si>
  <si>
    <t>2ПТС-4 РАО1609</t>
  </si>
  <si>
    <t>ГАЗ-52     7067РВН</t>
  </si>
  <si>
    <t>Г-52.01 9153РВН</t>
  </si>
  <si>
    <t>1ПТС-9 РАО1610</t>
  </si>
  <si>
    <t>Г-330610 9578РВН</t>
  </si>
  <si>
    <t>Т-150К 11094ВК</t>
  </si>
  <si>
    <t>Буро-кранова БКО-1</t>
  </si>
  <si>
    <t>ГАЗ-52 7163РВО</t>
  </si>
  <si>
    <t>ЮМЗ-6 11095ВК</t>
  </si>
  <si>
    <t>УАЗ-3962 7185РВО</t>
  </si>
  <si>
    <t>ГАЗ-33023 46916РВ</t>
  </si>
  <si>
    <t>УАЗ-3909 00657РО</t>
  </si>
  <si>
    <t>УАЗ-3909 03911РО</t>
  </si>
  <si>
    <t>ВАЗ-21213 33403РВ</t>
  </si>
  <si>
    <t>УАЗ-3909 ВК2117АН</t>
  </si>
  <si>
    <t>ЗІЛ-131 ВК9799АВ</t>
  </si>
  <si>
    <t>AC-U 39094 ВП6 УАЗ-374194 ВК5467АО</t>
  </si>
  <si>
    <t>ГАЗ 3309 ВК5495АР</t>
  </si>
  <si>
    <t>ХТЗ-17221 БКМ-420  16286ВК</t>
  </si>
  <si>
    <t xml:space="preserve"> ВАЗ-212140  ВК1988АТ</t>
  </si>
  <si>
    <t xml:space="preserve"> легкова службова</t>
  </si>
  <si>
    <t>AC-U 39095 ВП6  ВК8481ВА</t>
  </si>
  <si>
    <t>ГАЗ-33023  ВК8478ВА</t>
  </si>
  <si>
    <t>УАЗ-3909 ВК9080АВ</t>
  </si>
  <si>
    <t>ЗІЛ-433362 ВК4431АС</t>
  </si>
  <si>
    <t>Автопідйомник АП-18</t>
  </si>
  <si>
    <t>ВАЗ-21213 ВК9881АС</t>
  </si>
  <si>
    <t>УАЗ-3909 04797РО</t>
  </si>
  <si>
    <t>УАЗ-3909 04796РО</t>
  </si>
  <si>
    <t>МТЗ-82 09-68РД</t>
  </si>
  <si>
    <t>ГАЗ-3307 2335РВМ</t>
  </si>
  <si>
    <t>ЮМЗ-6КЛ 4854РД</t>
  </si>
  <si>
    <t>ГАЗ-33023 ВК3279АК</t>
  </si>
  <si>
    <t>ГАЗ-2410 008-25РВ</t>
  </si>
  <si>
    <t>УАЗ-2206 38699РВ</t>
  </si>
  <si>
    <t>AC-U 39094 ВП6 УАЗ-374194 ВК4391АО</t>
  </si>
  <si>
    <t xml:space="preserve">  АС-U39094-ВП6  ВК3721АТ</t>
  </si>
  <si>
    <t>Т-150К-09  20916ВК</t>
  </si>
  <si>
    <t>БКУ-1МК-Т</t>
  </si>
  <si>
    <t>УАЗ-3909 ВК3532ВС</t>
  </si>
  <si>
    <t>ГАЗ-2705 ВП-6</t>
  </si>
  <si>
    <t>ВАЗ-21214М</t>
  </si>
  <si>
    <t>МТЗ-80 9340РД</t>
  </si>
  <si>
    <t>УАЗ-3909  ВК0636АТ</t>
  </si>
  <si>
    <t>УАЗ-31514 ВК4797АР</t>
  </si>
  <si>
    <t>УАЗ-3909 ВК9024АЕ</t>
  </si>
  <si>
    <t>ГАЗ-33023  ВК4773АР</t>
  </si>
  <si>
    <t>УАЗ-3909 01663РО</t>
  </si>
  <si>
    <t>УАЗ-3909 07061РО</t>
  </si>
  <si>
    <t>ЗІЛ-433362 ВК3692АС</t>
  </si>
  <si>
    <t>УАЗ-3909 ВК4893АА</t>
  </si>
  <si>
    <t>УАЗ-3909 ВК4780АР</t>
  </si>
  <si>
    <t>МАЗ-5334 ВК4784АР</t>
  </si>
  <si>
    <t>Автокран КС-35626</t>
  </si>
  <si>
    <t>ГАЗ-52 ВК4799АР</t>
  </si>
  <si>
    <t>ГАЗ-52 ВК5502АР</t>
  </si>
  <si>
    <t>УАЗ-31519 ВК4798АР</t>
  </si>
  <si>
    <t>УАЗ-3909 ВК1766АН</t>
  </si>
  <si>
    <t>TK-U-3909-ВП6 УАЗ-3741  ВК9378АК</t>
  </si>
  <si>
    <t xml:space="preserve"> АС-U39094-ВП6  ВК2144АТ</t>
  </si>
  <si>
    <t>Т-150К-09   18609ВК</t>
  </si>
  <si>
    <t>AC-U-39095  ВК0685АХ</t>
  </si>
  <si>
    <t>2ПТС-4  РБ5829</t>
  </si>
  <si>
    <t>прчіп тракторний</t>
  </si>
  <si>
    <t>ВАЗ-212140  ВК8375ВА</t>
  </si>
  <si>
    <t>УАЗ-3909 ВК3227ВС</t>
  </si>
  <si>
    <t>УАЗ-3909 55772РВ</t>
  </si>
  <si>
    <t>УАЗ-3909 ВК5831АА</t>
  </si>
  <si>
    <t>ЗИЛ-433362 ВК3693АС</t>
  </si>
  <si>
    <t>ИЖ-2715601 ВК4768АР</t>
  </si>
  <si>
    <t>ГАЗ-52 ВК4776АР</t>
  </si>
  <si>
    <t>ВАЗ-212140ВК5806ВН</t>
  </si>
  <si>
    <t>легковий-універсал-В</t>
  </si>
  <si>
    <t>ГАЗ-5227 ВК4766АР</t>
  </si>
  <si>
    <t>Т-40М 8456РБ</t>
  </si>
  <si>
    <t>ГАЗ-3307 ВК4772АР</t>
  </si>
  <si>
    <t>ГАЗ-53 ВК4769АР</t>
  </si>
  <si>
    <t>Пасажирський ТС-20</t>
  </si>
  <si>
    <t>ДВ-40814 T1152РВ</t>
  </si>
  <si>
    <t>УАЗ-3909 ВК4764АР</t>
  </si>
  <si>
    <t>ГАЗ-66 ВК9316АС</t>
  </si>
  <si>
    <t>Бурова машина БМ-302</t>
  </si>
  <si>
    <t>УАЗ-31514 ВК4771АР</t>
  </si>
  <si>
    <t>УАЗ-3303 ВК4767АР</t>
  </si>
  <si>
    <t>ВАЗ-21214 ВК2283АН</t>
  </si>
  <si>
    <t>2ПТС-4 2784РБ</t>
  </si>
  <si>
    <t>2ПТС-4 2785РБ</t>
  </si>
  <si>
    <t>Напівпричіп NA</t>
  </si>
  <si>
    <t>АС-U-39094 ВП-6 УАЗ-374194  ВК4940АО</t>
  </si>
  <si>
    <t>УАЗ-390944  ВК3488АР</t>
  </si>
  <si>
    <t>вантажна бортова</t>
  </si>
  <si>
    <t>TK-U-3909-ВП6 УАЗ-3741  ВК9369АК</t>
  </si>
  <si>
    <t>AC-U 39095 ВП6  ВК8376ВА</t>
  </si>
  <si>
    <t>2ПТС-4 2095РБ</t>
  </si>
  <si>
    <t>МТЗ-80 1469РД</t>
  </si>
  <si>
    <t>Трактор спеціальний</t>
  </si>
  <si>
    <t>УАЗ-3909 6653РВО</t>
  </si>
  <si>
    <t>УАЗ-2206 5937РВМ</t>
  </si>
  <si>
    <t>ГАЗ- 2705 2870РВМ</t>
  </si>
  <si>
    <t>УАЗ-3909 46332РВ</t>
  </si>
  <si>
    <t>ГАЗ-33023 46398РВ</t>
  </si>
  <si>
    <t>ВАЗ-212140ВК5395ВН</t>
  </si>
  <si>
    <t>Легковий універсал-В</t>
  </si>
  <si>
    <t>УАЗ-31514 47007РВ</t>
  </si>
  <si>
    <t>УАЗ-3909-ВП6ТК 74619РВ</t>
  </si>
  <si>
    <t>УАЗ-3909-ВП6ТК ВК9166АВ</t>
  </si>
  <si>
    <t>ВАЗ-21214 ВК4151АН</t>
  </si>
  <si>
    <t>ИЖ-2717-90 ВК6721АВ</t>
  </si>
  <si>
    <t>УАЗ-3909 ВПАХ6 ВК2732АН</t>
  </si>
  <si>
    <t>ЮМЗ-6К 1776РБ</t>
  </si>
  <si>
    <t>Причіп 2П NA</t>
  </si>
  <si>
    <t>Причіп 2П</t>
  </si>
  <si>
    <t>AC-U-39094 ВП6 УАЗ ВК5809АО</t>
  </si>
  <si>
    <t>БКУ-150К 14409ВК</t>
  </si>
  <si>
    <t>машина бурильно-кран</t>
  </si>
  <si>
    <t>TK-U-3909-ВП6 УАЗ-3741  ВК9669АК</t>
  </si>
  <si>
    <t>АС-U 39094 ВП6 УАЗ-374194 ВК8525АР</t>
  </si>
  <si>
    <t>AC-U 39095 ВП6  ВК8756ВА</t>
  </si>
  <si>
    <t>УАЗ-3909 ВК3107ВС</t>
  </si>
  <si>
    <t>ГАЗ-3309-354</t>
  </si>
  <si>
    <t>УАЗ-3909 76065РВ</t>
  </si>
  <si>
    <t>ГАЗ-5327 2747РВК</t>
  </si>
  <si>
    <t>ЗІЛ-431410 ВК3057АР</t>
  </si>
  <si>
    <t>ГАЗ-5312 ВК3067АР</t>
  </si>
  <si>
    <t>УАЗ-3909  ВК3058АР</t>
  </si>
  <si>
    <t>ГАЗ-33023   ВК3066АР</t>
  </si>
  <si>
    <t>УАЗ-3909 74808РВ</t>
  </si>
  <si>
    <t>УАЗ-3909 ВК5314АА</t>
  </si>
  <si>
    <t>ЗІЛ-131 ВК1810АС</t>
  </si>
  <si>
    <t>КС-2561Д   ВК3062АР</t>
  </si>
  <si>
    <t>ГАЗ-33023  ВК3061АР</t>
  </si>
  <si>
    <t>УАЗ-3909 ВК3063АР</t>
  </si>
  <si>
    <t>УАЗ-3909  ВК3064АР</t>
  </si>
  <si>
    <t>Т-150 8853РБ</t>
  </si>
  <si>
    <t>ЗІЛ-431412 00581РО</t>
  </si>
  <si>
    <t>Автокран КС-2561К</t>
  </si>
  <si>
    <t>БМ-202  ВК3068АР</t>
  </si>
  <si>
    <t>ЮМЗ-6Л 9165РБ</t>
  </si>
  <si>
    <t>ТВГ-15Н  ВК3065АР</t>
  </si>
  <si>
    <t>ВАЗ-21214 ВК4276АН</t>
  </si>
  <si>
    <t>УАЗ-3909 ВК4241АА</t>
  </si>
  <si>
    <t>УАЗ-31514  ВК3059АР</t>
  </si>
  <si>
    <t>2ПТС-4 9078РБ</t>
  </si>
  <si>
    <t>1-АП-3 ВК6635ХХ</t>
  </si>
  <si>
    <t>УАЗ-374194  ВК5660АО</t>
  </si>
  <si>
    <t>УАЗ-3909  ВК9194АК</t>
  </si>
  <si>
    <t>АС-U 39094 ВП6  ВК9151АР</t>
  </si>
  <si>
    <t>ВАЗ-212140  ВК0975АТ</t>
  </si>
  <si>
    <t>УАЗ-3909 ВК3662ВС</t>
  </si>
  <si>
    <t>УАЗ-3909 ВК5282АА</t>
  </si>
  <si>
    <t>ЗИЛ-433362 ВК3697АС</t>
  </si>
  <si>
    <t>Т-150К 2146РБ</t>
  </si>
  <si>
    <t>УАЗ-3909  ВК0633АТ</t>
  </si>
  <si>
    <t>ГАЗ-33023 ВК0635АТ</t>
  </si>
  <si>
    <t>ГАЗ-5327 ВК0634АТ</t>
  </si>
  <si>
    <t>УАЗ-3909  ВК0629АТ</t>
  </si>
  <si>
    <t>ВАЗ-212140ВК5831ВН</t>
  </si>
  <si>
    <t>УАЗ-31512  ВК0630АТ</t>
  </si>
  <si>
    <t>2ПТС-4 6423РБ</t>
  </si>
  <si>
    <t>ГАЗ-52   ВК0631АТ</t>
  </si>
  <si>
    <t>ГАЗ-3307  ВК0632АТ</t>
  </si>
  <si>
    <t>ЮМЗ-6КЛ 1791РД</t>
  </si>
  <si>
    <t>ЕО-2621 2145РБ</t>
  </si>
  <si>
    <t>Екскаватор</t>
  </si>
  <si>
    <t>МТЗ-80 2082РБ</t>
  </si>
  <si>
    <t>Гідропідйомник</t>
  </si>
  <si>
    <t>ПЕЖО-J5 2454РВМ</t>
  </si>
  <si>
    <t>ГАЗ-3307 ВК9315АС</t>
  </si>
  <si>
    <t>УАЗ-3909 07062РО</t>
  </si>
  <si>
    <t>УАЗ-3909 ВК7914АВ</t>
  </si>
  <si>
    <t>ГАЗ-2705-434  ВК2185АТ</t>
  </si>
  <si>
    <t>АС-U 39094 ВП6 УАЗ-374194 ВК8463АР</t>
  </si>
  <si>
    <t>ВАЗ-212140  ВК1086АХ</t>
  </si>
  <si>
    <t>УАЗ-3303 ВК4775АР</t>
  </si>
  <si>
    <t>МТЗ-82.1 2490РБ</t>
  </si>
  <si>
    <t>УАЗ-3909 ВК8347АВ</t>
  </si>
  <si>
    <t>ЗИЛ-131В ВК1673АС</t>
  </si>
  <si>
    <t>ВАЗ-21214 ВК4648АН</t>
  </si>
  <si>
    <t>ВАЗ212140ВК5784ВН</t>
  </si>
  <si>
    <t>УАЗ-3909 ВК4783АР</t>
  </si>
  <si>
    <t>ЗИЛ-5301ЕО ВК1296ВВ</t>
  </si>
  <si>
    <t>ГАЗ-52 ВК4782АР</t>
  </si>
  <si>
    <t>Т-150К 1822РД</t>
  </si>
  <si>
    <t>ГАЗ-3328 ВК4779АР</t>
  </si>
  <si>
    <t>ГАЗ-3328  ВК5689АР</t>
  </si>
  <si>
    <t>ГАЗ-3327 ВК4778АР</t>
  </si>
  <si>
    <t>2ПТС-6 9488РБ</t>
  </si>
  <si>
    <t>ТР-5 3638РБ</t>
  </si>
  <si>
    <t>АС-U 39094 ВП6 УАЗ-374194 ВК9865АР</t>
  </si>
  <si>
    <t xml:space="preserve"> AC-U-39095  ВК0388АХ</t>
  </si>
  <si>
    <t>ХТА-200 БКМ-2М  25690ВК</t>
  </si>
  <si>
    <t>Буро-кранова БКМ-2М</t>
  </si>
  <si>
    <t>УАЗ-3909 463-49 РВ</t>
  </si>
  <si>
    <t>ГАЗ-3307 23-34 РВМ</t>
  </si>
  <si>
    <t>МТЗ-82 21-63 РД</t>
  </si>
  <si>
    <t>ГАЗ-5204 25-98 РВН</t>
  </si>
  <si>
    <t>Вишка телескопічна ТВГ-15</t>
  </si>
  <si>
    <t>2ПТС-4 67-31 РБ</t>
  </si>
  <si>
    <t>Т-40 25-79 РБ</t>
  </si>
  <si>
    <t>УАЗ-3909 436-67РВ</t>
  </si>
  <si>
    <t>ГАЗ-33023 463-97 РВ</t>
  </si>
  <si>
    <t>УАЗ-469Б 205-24 РВ</t>
  </si>
  <si>
    <t>Т-150К 25-76 РБ</t>
  </si>
  <si>
    <t>ВАЗ-212140ВК6829ВН</t>
  </si>
  <si>
    <t>легковий універсал-В</t>
  </si>
  <si>
    <t>УАЗ-3741ВП ВК 99-49 АВ</t>
  </si>
  <si>
    <t>УАЗ-3909 074-47 РО</t>
  </si>
  <si>
    <t>ЗІЛ-433362 ВК2187 АС</t>
  </si>
  <si>
    <t>ВАЗ-21213 423-52 РВ</t>
  </si>
  <si>
    <t>УАЗ-3909 ВК 2118 АН</t>
  </si>
  <si>
    <t>2ПТС-4 07-15 РД</t>
  </si>
  <si>
    <t>AC-U-39094 ВП6    ВК5483АО</t>
  </si>
  <si>
    <t>Причіп-платформа</t>
  </si>
  <si>
    <t>причіп-платформа</t>
  </si>
  <si>
    <t xml:space="preserve"> ВАЗ-212140  ВК2532АТ</t>
  </si>
  <si>
    <t>AC-U 39095 ВП6  ВК0287КМ</t>
  </si>
  <si>
    <t>ГАЗ 2705 ВК3137АР</t>
  </si>
  <si>
    <t>Спец.аварійна</t>
  </si>
  <si>
    <t>ЗІЛ-133ГЯ 00160РО</t>
  </si>
  <si>
    <t>УАЗ-3909 00658РО</t>
  </si>
  <si>
    <t>ГАЗ-33023 46396РВ</t>
  </si>
  <si>
    <t>УАЗ-3909 53994РВ</t>
  </si>
  <si>
    <t>УАЗ-3909 ВК1616АА</t>
  </si>
  <si>
    <t>ХТЗ-150К 06001РА</t>
  </si>
  <si>
    <t>УАЗ-3909 17812РВ</t>
  </si>
  <si>
    <t>УАЗ-3909 ВК9055АВ</t>
  </si>
  <si>
    <t>ЗІЛ-432932 ВК4739АН</t>
  </si>
  <si>
    <t>УАЗ-31514 46319РВ</t>
  </si>
  <si>
    <t>ГАЗ-5201 9152РВН</t>
  </si>
  <si>
    <t>Т-40 5895РБ</t>
  </si>
  <si>
    <t>УАЗ-3303 7179РВН</t>
  </si>
  <si>
    <t>ГАЗ-5201 9150РВН</t>
  </si>
  <si>
    <t>ГАЗ-5201 6740РВН</t>
  </si>
  <si>
    <t>ВАЗ-21213 53987РВ</t>
  </si>
  <si>
    <t>ВАЗ-21150 65502РВ</t>
  </si>
  <si>
    <t>УАЗ-31514 40423РВ</t>
  </si>
  <si>
    <t>ГАЗ-32213 77746РА</t>
  </si>
  <si>
    <t>2ПТС-4 1975РБ</t>
  </si>
  <si>
    <t>ISUZU NOR 71P АА4802ІЕ</t>
  </si>
  <si>
    <t>Ватажний автопідйомн</t>
  </si>
  <si>
    <t>TK-U-3909-ВП6 УАЗ-3741  ВК8987АК</t>
  </si>
  <si>
    <t>ВАЗ-21043-20  ВК8988АК</t>
  </si>
  <si>
    <t xml:space="preserve"> АС-U39094-ВП6  ВК1992АТ</t>
  </si>
  <si>
    <t>AC-U 39095 ВП6  ВК8485ВА</t>
  </si>
  <si>
    <t>УАЗ-3909 ВК3803ВС</t>
  </si>
  <si>
    <t>Т-150 9975РБ</t>
  </si>
  <si>
    <t>ГАЗ-52 7177РВН</t>
  </si>
  <si>
    <t>ГАЗ-52 9562РВК</t>
  </si>
  <si>
    <t>ГАЗ-5228 ВК4781АР</t>
  </si>
  <si>
    <t>ЗИЛ-5301 06179РО</t>
  </si>
  <si>
    <t>МТЗ-80 01499РА</t>
  </si>
  <si>
    <t>УАЗ-3909 ВК8664АВ</t>
  </si>
  <si>
    <t>УАЗ-3909 ВК2811АН</t>
  </si>
  <si>
    <t>ГАЗ-33021 7224РВО</t>
  </si>
  <si>
    <t>УАЗ-3303 45079РВ</t>
  </si>
  <si>
    <t>ГАЗ-33023 46915РВ</t>
  </si>
  <si>
    <t>УАЗ-2206 03910РО</t>
  </si>
  <si>
    <t>ВАЗ-21213 55028РВ</t>
  </si>
  <si>
    <t>ВАЗ-212140 ВК8657АК</t>
  </si>
  <si>
    <t>легковий службовий</t>
  </si>
  <si>
    <t>TK-U-3909-ВП6 УАЗ-3741  ВК9229АК</t>
  </si>
  <si>
    <t>ВАЗ-21214  ВК9228АК</t>
  </si>
  <si>
    <t>АС-U 39094 ВП6 УАЗ-374194 ВК9160АР</t>
  </si>
  <si>
    <t>ГАЗ-2705 ВК3138АР</t>
  </si>
  <si>
    <t>ВАЗ212140ВК5628ВН</t>
  </si>
  <si>
    <t>УАЗ-31514 ВК3142АР</t>
  </si>
  <si>
    <t>УАЗ-3909 ВК0039АА</t>
  </si>
  <si>
    <t>ГАЗ-33023 ВК3141АР</t>
  </si>
  <si>
    <t>ПЕЖО-Ж5 2556РВМ</t>
  </si>
  <si>
    <t>Aвтопідйомник VT-9</t>
  </si>
  <si>
    <t>ГАЗ-5228 ВК3135АР</t>
  </si>
  <si>
    <t>ГАЗ-33023 ВК6379АР</t>
  </si>
  <si>
    <t>ИЖ-2717-90 ВК0844АВ</t>
  </si>
  <si>
    <t>ИЖ-2717-90 ВК7449АВ</t>
  </si>
  <si>
    <t>ЗИЛ-433362 ВК3150АС</t>
  </si>
  <si>
    <t>МТЗ-80 3480РД</t>
  </si>
  <si>
    <t>Екскаватор-навантажу</t>
  </si>
  <si>
    <t>ГАЗ-33023 ВК3140АР</t>
  </si>
  <si>
    <t>ВАЗ-21213 ВК3136АР</t>
  </si>
  <si>
    <t>ГАЗ-3102 ВК3143АР</t>
  </si>
  <si>
    <t>ГАЗ-2705 01446РО</t>
  </si>
  <si>
    <t>УАЗ-2206 ВК3139АР</t>
  </si>
  <si>
    <t>УАЗ-3909 ВК0695АН</t>
  </si>
  <si>
    <t>ГАЗ-2217 ВК4936АА</t>
  </si>
  <si>
    <t>ISUZU NOR 71P АА4803ІЕ</t>
  </si>
  <si>
    <t>ГАЗ-2705-414  ВК7782АР</t>
  </si>
  <si>
    <t>ГАЗ-2705-414  ВК7780АР</t>
  </si>
  <si>
    <t xml:space="preserve"> АС-U39094-ВП6  ВК2278АТ</t>
  </si>
  <si>
    <t xml:space="preserve"> АС-U39094-ВП6  ВК2279АТ</t>
  </si>
  <si>
    <t>ВАЗ-212140  ВК9438ВА</t>
  </si>
  <si>
    <t>2014 (з урахуванням обсягів запланованих робіт)</t>
  </si>
  <si>
    <t>БКМ-2М</t>
  </si>
  <si>
    <t>Комп'ютери до 2009 року випуску</t>
  </si>
  <si>
    <t>Комп'ютери 2010 року випуску</t>
  </si>
  <si>
    <t>Комп'ютери 2011 року випуску</t>
  </si>
  <si>
    <t>Комп'ютери 2012 року випуску</t>
  </si>
  <si>
    <t>Комп'ютери 2013 року випуску</t>
  </si>
  <si>
    <t>110  кВ</t>
  </si>
  <si>
    <t>1,0</t>
  </si>
  <si>
    <t>0,5S</t>
  </si>
  <si>
    <t>відповідає</t>
  </si>
  <si>
    <t>10(6)</t>
  </si>
  <si>
    <t>0,4 (ТВП)</t>
  </si>
  <si>
    <t>35  кВ</t>
  </si>
  <si>
    <t>10 (6)</t>
  </si>
  <si>
    <t>РП – 10</t>
  </si>
  <si>
    <t>(ТП - 10)</t>
  </si>
  <si>
    <t>2,0</t>
  </si>
  <si>
    <t>4.4. Стан технічного обліку електричної енергії на початок 2014 року</t>
  </si>
  <si>
    <t>EA05RAL</t>
  </si>
  <si>
    <t>ABB</t>
  </si>
  <si>
    <t>п/с "Радивилів тяга"</t>
  </si>
  <si>
    <t xml:space="preserve"> ПЛ 35кВ "Радивилів-Суховоля"</t>
  </si>
  <si>
    <t>ПЛ 35кВ "Радивилів-Білявці"</t>
  </si>
  <si>
    <t>ПЛ 35кВ "Радивилів-місто"</t>
  </si>
  <si>
    <t>0,2S</t>
  </si>
  <si>
    <t>EA02RAL</t>
  </si>
  <si>
    <t>п/с "Берестечко"</t>
  </si>
  <si>
    <t>ПЛ 110кВ "Берестечко-Радивилів"</t>
  </si>
  <si>
    <t>SL761</t>
  </si>
  <si>
    <t>Shlumberger</t>
  </si>
  <si>
    <t>ПЛ 35кВ "Берестечко-Рогізне"</t>
  </si>
  <si>
    <t>ПЛ 35кВ "Берестечко-Теслугів"</t>
  </si>
  <si>
    <t>0023320.6</t>
  </si>
  <si>
    <t>ні</t>
  </si>
  <si>
    <t>ПЛІ-0,4кВ від ТП-311 с.Степанівка Здолбунівський район</t>
  </si>
  <si>
    <t xml:space="preserve">ПЛІ-0,4кВ від ТП-220 с.Озерськ Дубровицький район </t>
  </si>
  <si>
    <t>ПЛІ-0.4кВ від ТП-439 с.Гірники Дубенський район</t>
  </si>
  <si>
    <t>ПЛІ-0.4кВ від ТП-353 с.Варковичі Дубенський район</t>
  </si>
  <si>
    <t>ПЛІ-0,4кВ від ТП-232 м.Чудель Сарненський район</t>
  </si>
  <si>
    <t>ПЛІ-0,4кВ від ТП-12 с.Дубівка Володимирецький район</t>
  </si>
  <si>
    <t>ПЛІ-0,4кВ від ТП-80 с.Дубівка Володимирецький район</t>
  </si>
  <si>
    <t>ПЛІ-0,4кВ від ТП-158 с.Ст.Корець Корецький район</t>
  </si>
  <si>
    <t>ПЛІ-0,4кВ від ТП-71 с.Олишва Рівненський район</t>
  </si>
  <si>
    <t>ПЛІ-0,4кВ від ТП-114 с.Глушиця Сарненський район</t>
  </si>
  <si>
    <t>ПЛІ-0,4кВ від ТП-116 с.Глушиця Сарненський район</t>
  </si>
  <si>
    <t>ПЛІ-0,4кВ від ТП-54 с.Моквин Костопільський район</t>
  </si>
  <si>
    <t>ПЛІ-0,4кВ від ТП-45 с.Яснобір Костопільський район</t>
  </si>
  <si>
    <t>ПЛІ-0,4кВ від ТП-78 с.Дідівка Зарічненський район</t>
  </si>
  <si>
    <t>ПЛІ-0,4кВ від ТП-31 с.Бронники Рівненський район</t>
  </si>
  <si>
    <t>с.Добривода від ТП-364 Радив.район (розвантажувальної ТП-160 кВА)</t>
  </si>
  <si>
    <t>с.Михайлівка від ТП-322 Радив.район (розвантажувальної ТП-100 кВА)</t>
  </si>
  <si>
    <t>с.Борбин від ТП-296 Млинівський р-н (розвантажувальної ТП-160 кВА)</t>
  </si>
  <si>
    <t>с.Хорів від ТП-211 Острозький район (розвантажувальної ТП-160 кВА)</t>
  </si>
  <si>
    <t>с.Переброди від ТП-381 Дубров.р-н (розвантажувальної ТП-160 кВА)</t>
  </si>
  <si>
    <t>с.Бережки від ТП-32 Дубров.р-н (розвантажувальної ТП-160 кВА)</t>
  </si>
  <si>
    <t>с.Прикладники від ТП-59 Зарічн.р-н (розвантажувальної ТП-160 кВА)</t>
  </si>
  <si>
    <t>с.Томахів від ТП-7 Гощанський район (розвантажувальної ТП-160 кВА)</t>
  </si>
  <si>
    <t>с.Томахів від ТП-8 Гощанський район (розвантажувальної ТП-160 кВА)</t>
  </si>
  <si>
    <t>с.Шубків від ТП-270 Рівненський р-н (розвантажувальної ТП-160 кВА)</t>
  </si>
  <si>
    <t>с.Богдашів від ТП-415 Здолб.район (розвантажувальної ТП-160 кВА)</t>
  </si>
  <si>
    <t>с.Новоукраїнка від ТП-298 Млинів.р-н (розвантажувальної ТП-160 кВА)</t>
  </si>
  <si>
    <t>с.Бродівське від ТП-81 Острозький р-н (розвантажувальної ТП-160 кВА)</t>
  </si>
  <si>
    <t>Вартість реалізації складової частини проекту відповідно до проектної документації,
тис. грн (без ПДВ)</t>
  </si>
  <si>
    <t>Фактичне фінансування реалізації складової частини проекту станом на дату початку 2013р.
тис. грн (без ПДВ)</t>
  </si>
  <si>
    <t>Фінансування, передбачене на реалізацію складової частини проекту інвестиційною програмою на 2014р.,
тис. грн (без ПДВ)</t>
  </si>
  <si>
    <t>Сума коштів, необхідна для завершення реалізації складової частини проекту з розбивкою по роках,
тис. грн (без ПДВ)</t>
  </si>
  <si>
    <t>Фактичне фінансування реалізації складової частини проекту станом на дату початку 2013р,
тис. грн (без ПДВ)</t>
  </si>
  <si>
    <t>Фінансування реалізації складової частини проекту, передбачене інвестиційною програмою на 2013р,
тис. грн (без ПДВ)</t>
  </si>
  <si>
    <t>Фінансування, передбачене на реалізацію складової частини проекту інвестиційною програмою на 2014р,
тис. грн (без ПДВ)</t>
  </si>
  <si>
    <t>ZMD405</t>
  </si>
  <si>
    <t>LANDISiGIR</t>
  </si>
  <si>
    <t>ЕлвінЕТ2АSE</t>
  </si>
  <si>
    <t>п/ст 330 Радивилів</t>
  </si>
  <si>
    <t>ПЛ 110кВ "Радивилів-Броди"</t>
  </si>
  <si>
    <t>ПЛ 110кВ "Радивилів-Кременець"</t>
  </si>
  <si>
    <t>ПЛ 110кВ "Радивилів-БродиНПС"</t>
  </si>
  <si>
    <t>ВвідАТ-1</t>
  </si>
  <si>
    <t>ВвідАТ-2</t>
  </si>
  <si>
    <t xml:space="preserve"> ШОВ</t>
  </si>
  <si>
    <t>Ввід ТВП-1</t>
  </si>
  <si>
    <t>Ввід ТВП-2</t>
  </si>
  <si>
    <t>п/ст 330 Рівне</t>
  </si>
  <si>
    <t>ВвідАТ-4</t>
  </si>
  <si>
    <t>ВвідТ-5</t>
  </si>
  <si>
    <t>Склад ДАЕК</t>
  </si>
  <si>
    <t xml:space="preserve"> ОВ</t>
  </si>
  <si>
    <t>ШОВ</t>
  </si>
  <si>
    <t>Житл. буд. №15</t>
  </si>
  <si>
    <t>Ввід ТВП-3</t>
  </si>
  <si>
    <t>Ввід ТВП-4</t>
  </si>
  <si>
    <t>п/ст 330 Грабів</t>
  </si>
  <si>
    <t>Ввід ОМВ</t>
  </si>
  <si>
    <t>п/ст РАЕС</t>
  </si>
  <si>
    <t>ПЛ 110кВ "РАЕС-Кузнецовськ"</t>
  </si>
  <si>
    <t>ПЛ 110кВ "РАЕС-Володимирець"</t>
  </si>
  <si>
    <t>ПЛ 110кВ "РАЕС-Хіночі"</t>
  </si>
  <si>
    <t>Обхідний вимик</t>
  </si>
  <si>
    <t>п/с "Дубно цукрозавод"</t>
  </si>
  <si>
    <t>LZQM</t>
  </si>
  <si>
    <t>ЕЛГАМА</t>
  </si>
  <si>
    <t xml:space="preserve">  відповідає</t>
  </si>
  <si>
    <t>п/с "Острог цукрозавод"</t>
  </si>
  <si>
    <t>ДП Теплокомун-сервіс</t>
  </si>
  <si>
    <t>Млинів ГЕС</t>
  </si>
  <si>
    <t>Хрінники ГЕС</t>
  </si>
  <si>
    <t>п/ст "Здолбунів-тяга"</t>
  </si>
  <si>
    <t>Ввід Т-1</t>
  </si>
  <si>
    <t>Ввід Т-2</t>
  </si>
  <si>
    <t>ПЛ 35кВ "Новомильськ"</t>
  </si>
  <si>
    <t>ПЛ 35кВ "Мізоч"</t>
  </si>
  <si>
    <t>п/ст "Дубно-тяга"</t>
  </si>
  <si>
    <t>ПЛ 35кВ "Дубно-місто-1"</t>
  </si>
  <si>
    <t>ПЛ 35кВ "Тростянець"</t>
  </si>
  <si>
    <t>ПЛ 35кВ "Смига"</t>
  </si>
  <si>
    <t>ПЛ 35кВ "Цукрозавод"</t>
  </si>
  <si>
    <t>ПЛ 35кВ "Дубно-місто-2"</t>
  </si>
  <si>
    <t>п/ст "Сарни"</t>
  </si>
  <si>
    <t>ТП-АБ                 "ст. Сарни"</t>
  </si>
  <si>
    <t>ЦРП                 "ст. Сарни"</t>
  </si>
  <si>
    <t>РП ЗАТ"РЛЗ"</t>
  </si>
  <si>
    <t>ТП-1                "ст. Обарів"</t>
  </si>
  <si>
    <t>Наявний стан на початок 2014р</t>
  </si>
  <si>
    <t>Прогнозний стан на кінець 2014</t>
  </si>
  <si>
    <t xml:space="preserve">4.2.3. Стан обліку електричної енергії у населення на початок 2014р </t>
  </si>
  <si>
    <t>Наявний станом на початок 2014р</t>
  </si>
  <si>
    <t>Прогнозний стан на кінець 2014р</t>
  </si>
  <si>
    <t xml:space="preserve">4.2.1. Стан обліку електричної енергії у промислових споживачів на початок 2014р </t>
  </si>
  <si>
    <t>СО-2М</t>
  </si>
  <si>
    <t>SKAITEKS</t>
  </si>
  <si>
    <t>СО-197</t>
  </si>
  <si>
    <t>ДП ХЗЕА</t>
  </si>
  <si>
    <t>відповідають</t>
  </si>
  <si>
    <t>ЦЭ-6807Б</t>
  </si>
  <si>
    <t>ЕНЕРГОМЕРА</t>
  </si>
  <si>
    <t>СОЕ-5028МНВ</t>
  </si>
  <si>
    <t>РОСТОК</t>
  </si>
  <si>
    <t>СОЕ-5028НВ</t>
  </si>
  <si>
    <t>Меркурій 201</t>
  </si>
  <si>
    <t>ИНКОТЕКС</t>
  </si>
  <si>
    <t>НІК 2102</t>
  </si>
  <si>
    <t>НІК</t>
  </si>
  <si>
    <t>СТК-1</t>
  </si>
  <si>
    <t>ТЕЛЕКАРТ</t>
  </si>
  <si>
    <t>СА-4</t>
  </si>
  <si>
    <t>ЛЕМЗ</t>
  </si>
  <si>
    <t>0.4</t>
  </si>
  <si>
    <t>Ф68700В</t>
  </si>
  <si>
    <t>СА-4-5030</t>
  </si>
  <si>
    <t>EMP(S)</t>
  </si>
  <si>
    <t>ELGAMA</t>
  </si>
  <si>
    <t>СТК-3</t>
  </si>
  <si>
    <t>НІК 2301</t>
  </si>
  <si>
    <t xml:space="preserve">НІК 2303 </t>
  </si>
  <si>
    <t>Меркурій 230</t>
  </si>
  <si>
    <t>ZMG</t>
  </si>
  <si>
    <t>ЦЕ6803</t>
  </si>
  <si>
    <t>ЦЕ6805</t>
  </si>
  <si>
    <t>ЄвроАльфа</t>
  </si>
  <si>
    <t>"АББ  Метроника"</t>
  </si>
  <si>
    <t>ZFB</t>
  </si>
  <si>
    <t>SL 7000</t>
  </si>
  <si>
    <t>"АCTARIS"</t>
  </si>
  <si>
    <t>Очікується станом на кінець 2014р з урахуванням інвестиційної програми</t>
  </si>
  <si>
    <t>напругою 6-10 кВ</t>
  </si>
  <si>
    <t>Кількість і потужність підстанцій
6-10/0,4 кВ, усього</t>
  </si>
  <si>
    <t>Кількість повітряних фідерів
6-10 кВ, усього</t>
  </si>
  <si>
    <t>довжиною з відгалуженнями до
15 км</t>
  </si>
  <si>
    <t>довжиною з відгалуженнями понад
50 км</t>
  </si>
  <si>
    <t>у тому числі:</t>
  </si>
  <si>
    <t>Усього (продовження)</t>
  </si>
  <si>
    <t>з простроче-
ним терміном повірки</t>
  </si>
  <si>
    <t>з простро-
ченим терміном повірки</t>
  </si>
  <si>
    <t>ліцензіата</t>
  </si>
  <si>
    <t>індукційні лічильники</t>
  </si>
  <si>
    <t>електронні лічильники</t>
  </si>
  <si>
    <t>клас точності</t>
  </si>
  <si>
    <t>строк експлуатації                                                                                     (у роках)</t>
  </si>
  <si>
    <t>клас  точності</t>
  </si>
  <si>
    <t>строк експлуатації                                               (у роках)</t>
  </si>
  <si>
    <t>строк експлуатації                    
(у роках)</t>
  </si>
  <si>
    <t>Виробник приладу обліку</t>
  </si>
  <si>
    <t>Лічильники із строком експлуатації</t>
  </si>
  <si>
    <t>відсоток від загальної кількості</t>
  </si>
  <si>
    <t>кількість, шт.</t>
  </si>
  <si>
    <t>індукційні</t>
  </si>
  <si>
    <t>електронні</t>
  </si>
  <si>
    <t>клас точності гірше 2,0</t>
  </si>
  <si>
    <t>клас точності  2,0 та краще</t>
  </si>
  <si>
    <t>Відповідність лічильника вимогам Інструкції про порядок комерційного обліку електричної енергії**</t>
  </si>
  <si>
    <t>Відповідність точки обліку вимогам Інструкції про порядок комерційного обліку електричної енергії**</t>
  </si>
  <si>
    <t>** Додаток 10 до Договору між Членами Оптового ринку електричної енергії України.</t>
  </si>
  <si>
    <t>* Указати всі точки комерційного обліку з суміжними ліцензіатами (Оптовий ринок електричної енергії України, електропередавальні організації, генеруючі підприємства).</t>
  </si>
  <si>
    <t>Відповідність лічильника вимогам Інструкції про порядок комерційного обліку електричної енергії*</t>
  </si>
  <si>
    <t>* Додаток 10 до Договору між Членами Оптового ринку електричної енергії України.</t>
  </si>
  <si>
    <t>Автомобілі для перевезення вантажів та пасажирів</t>
  </si>
  <si>
    <t>Загальна кількість колісної техніки</t>
  </si>
  <si>
    <t>з них підлягає списанню</t>
  </si>
  <si>
    <t>Бурильно-кранові машини</t>
  </si>
  <si>
    <t>Автомобілі з кузовами типів фургон, пікап</t>
  </si>
  <si>
    <t>Легкові автомобілі</t>
  </si>
  <si>
    <t>Трактори і механізми, виконані на їх базі</t>
  </si>
  <si>
    <t>Спеціальні легкові автомобілі</t>
  </si>
  <si>
    <t>Спеціальні автомобілі, виконані на шасі вантажівок</t>
  </si>
  <si>
    <t>Залишкова вартість, тис. грн</t>
  </si>
  <si>
    <t>марка</t>
  </si>
  <si>
    <t>призначення (тип)</t>
  </si>
  <si>
    <t>витрати пального*, л/100 км</t>
  </si>
  <si>
    <t>Марка колісної техніки</t>
  </si>
  <si>
    <t>Нормативний строк експлуатації, років</t>
  </si>
  <si>
    <t>Витрати на технічне обслуговування та ремонт, тис. грн</t>
  </si>
  <si>
    <t>орієнтовна вартість, тис. грн</t>
  </si>
  <si>
    <t>витрати на технічне обслуговування та ремонт, тис. грн</t>
  </si>
  <si>
    <t>зменшення витрат на технічне обслуговування і ремонт</t>
  </si>
  <si>
    <t>зменшення затрат на закупівлю автомобільних шин за рахунок збільшення їх норми пробігу</t>
  </si>
  <si>
    <r>
      <t>Строк окупності, років</t>
    </r>
    <r>
      <rPr>
        <b/>
        <sz val="10"/>
        <rFont val="Arial"/>
        <family val="2"/>
        <charset val="204"/>
      </rPr>
      <t/>
    </r>
  </si>
  <si>
    <t>Марка колісної техніки, що підлягає заміні</t>
  </si>
  <si>
    <t>Марка колісної техніки, що пропонується на заміну</t>
  </si>
  <si>
    <t>загальний очікуваний економічний ефект від заміни колісної техніки</t>
  </si>
  <si>
    <t>4.7. Витрати електричної енергії*</t>
  </si>
  <si>
    <t>Небаланс**</t>
  </si>
  <si>
    <t>Нормативні технологічні витрати</t>
  </si>
  <si>
    <t xml:space="preserve">Фактичне надходження електричної енергії </t>
  </si>
  <si>
    <t>* У колонках зазначити відповідні роки.</t>
  </si>
  <si>
    <t>Норма прибутку на базу
нарахування, %</t>
  </si>
  <si>
    <t>Зв'язку та обчислювальної техніки</t>
  </si>
  <si>
    <t>Релейного захисту та автоматики</t>
  </si>
  <si>
    <t>Загальна довжина електричних
мереж, км **</t>
  </si>
  <si>
    <t>Середньооблікова чисельність
персоналу, осіб</t>
  </si>
  <si>
    <t>У т.ч. по роках:</t>
  </si>
  <si>
    <t>Заходи зі зниження нетехнічних витрат електричної енергії</t>
  </si>
  <si>
    <t>5.2. Заходи зі зниження нетехнічних витрат електричної енергії</t>
  </si>
  <si>
    <t>резервне електроживлення засобів зв'язку</t>
  </si>
  <si>
    <t>Системи зв'язку, у т.ч.:</t>
  </si>
  <si>
    <t>тис. грн</t>
  </si>
  <si>
    <t>Прибуток усього, тис. грн</t>
  </si>
  <si>
    <t>Сума залучених інвестицій, тис. грн</t>
  </si>
  <si>
    <t>Вартість одиниці продукції
(тис. грн з ПДВ)</t>
  </si>
  <si>
    <t>Джерела фінансування
(тис. грн без ПДВ)</t>
  </si>
  <si>
    <t>Впровадження та розвиток
систем зв'язку</t>
  </si>
  <si>
    <t>Модернізація та закупівля
колісної техніки</t>
  </si>
  <si>
    <t>млн кВт·год</t>
  </si>
  <si>
    <t>усього на рік</t>
  </si>
  <si>
    <t xml:space="preserve">економічний ефект </t>
  </si>
  <si>
    <t>у т.ч. з магістральними ізольованими проводами</t>
  </si>
  <si>
    <t>1.5.3</t>
  </si>
  <si>
    <t>1.1.4.1</t>
  </si>
  <si>
    <t>1.2.4.1</t>
  </si>
  <si>
    <t>1.2.2</t>
  </si>
  <si>
    <t>1.2.3</t>
  </si>
  <si>
    <t>1.2.4</t>
  </si>
  <si>
    <t>1.3.1</t>
  </si>
  <si>
    <t>1.3.2</t>
  </si>
  <si>
    <t>1.3.3</t>
  </si>
  <si>
    <t>1.4.1</t>
  </si>
  <si>
    <t>1.4.2</t>
  </si>
  <si>
    <t>1.4.3</t>
  </si>
  <si>
    <t>1.5.1</t>
  </si>
  <si>
    <t>1.5.2</t>
  </si>
  <si>
    <t>окупність у роках</t>
  </si>
  <si>
    <t>* За наявності проектної документації вказати дату і номер документа про її затвердження.</t>
  </si>
  <si>
    <t>У разі відсутності проектної документації вказати дату, до якої планується виготовлення цієї документації.</t>
  </si>
  <si>
    <t>економічний ефект (зниження ТВЕ)</t>
  </si>
  <si>
    <t>впровадження обліку споживання електричної енергії населенням, у т.ч.:</t>
  </si>
  <si>
    <t>Капіталовкладення на передачу електричної енергії</t>
  </si>
  <si>
    <t>Капіталовкладення на постачання електричної енергії</t>
  </si>
  <si>
    <t>Річний обсяг передачі електричної енергії через точку обліку,
тис. кВт·год</t>
  </si>
  <si>
    <t>Річний обсяг передачі електричної енергії (відпуск з мережі), млн кВт·год</t>
  </si>
  <si>
    <t>Річна виручка від передачі
електричної енергії, тис. грн</t>
  </si>
  <si>
    <t>Операційні витрати з передачі електричної енергії, тис. грн</t>
  </si>
  <si>
    <t>Річний обсяг постачання
електричної енергії, млн кВт·год</t>
  </si>
  <si>
    <t>Річна виручка від постачання електричної енергії, тис. грн</t>
  </si>
  <si>
    <t>Операційні витрати з постачання електричної енергії, тис. грн</t>
  </si>
  <si>
    <t>Втрати електричної енергії
в мережах, %</t>
  </si>
  <si>
    <t xml:space="preserve">  впровадження  комерційного обліку 
  електричної енергії </t>
  </si>
  <si>
    <t xml:space="preserve">заміна вимірювальних трансформаторів </t>
  </si>
  <si>
    <t xml:space="preserve">  впровадження обліку електричної енергії на межі структурних підрозділів (районів електричних мереж, філій)</t>
  </si>
  <si>
    <t>Покращення обліку електричної енергії,
у т.ч.:</t>
  </si>
  <si>
    <t>придбання стендів повірки, зразкових лічильників, повірочних лабораторій</t>
  </si>
  <si>
    <t>Телемеханіка підстанцій</t>
  </si>
  <si>
    <t>5.3.1. Етапи впровадження проекту АСДТК ліцензіата</t>
  </si>
  <si>
    <t>Назва складової частини проекта</t>
  </si>
  <si>
    <t>Період реалізації складової частини проекту</t>
  </si>
  <si>
    <t>Система керування й отримання даних</t>
  </si>
  <si>
    <t>2.3</t>
  </si>
  <si>
    <t>5</t>
  </si>
  <si>
    <t>для серверів</t>
  </si>
  <si>
    <t>для робочих станцій</t>
  </si>
  <si>
    <t>інше</t>
  </si>
  <si>
    <t>3.3</t>
  </si>
  <si>
    <t>5.4. Впровадження та розвиток інформаційних технологій</t>
  </si>
  <si>
    <t>інші засоби інформатизації</t>
  </si>
  <si>
    <t>економічний ефект (окупність у роках)</t>
  </si>
  <si>
    <t>модернізація наявних видів зв'язку (радіо, високочастотні, радіорелейні тощо)</t>
  </si>
  <si>
    <t>5.5.1. Етапи впровадження системи зв'язку</t>
  </si>
  <si>
    <t>Упровадження та розвиток магістральних ліній зв'язку, у тому числі:</t>
  </si>
  <si>
    <t>Установлення та заміна каналоутворювального та комутаційного обладнання (зокрема АТС), у тому числі:</t>
  </si>
  <si>
    <t>Автомобільні електромеханічні майстерні</t>
  </si>
  <si>
    <t xml:space="preserve">Автомобілі (вахтові) для перевезення бригад робітників </t>
  </si>
  <si>
    <t xml:space="preserve">Автовежі телескопічні та підіймачі </t>
  </si>
  <si>
    <t>5.6. Модернізація та закупівля колісної техніки</t>
  </si>
  <si>
    <t>Упровадження та розвиток ліній зв'язку "останньої милі",
у тому числі:</t>
  </si>
  <si>
    <t>5.7. Інше</t>
  </si>
  <si>
    <t>У т. ч. по кварталах</t>
  </si>
  <si>
    <t>№ сторінки обґрунто-вувальних матеріалів</t>
  </si>
  <si>
    <t>1. Будівництво, модернізація та реконструкція електричних мереж та обладнання</t>
  </si>
  <si>
    <t>Усього по розділу 1:</t>
  </si>
  <si>
    <t>2. Заходи зі зниження нетехнічних витрат електричної енергії</t>
  </si>
  <si>
    <t>Усього по розділу 2:</t>
  </si>
  <si>
    <t>3. Впровадження та розвиток АСДТК</t>
  </si>
  <si>
    <t>Усього по розділу 3:</t>
  </si>
  <si>
    <t>4. Впровадження та розвиток інформаційних технологій</t>
  </si>
  <si>
    <t>Усього по розділу 4:</t>
  </si>
  <si>
    <t>5. Впровадження та розвиток систем зв'язку</t>
  </si>
  <si>
    <t>Усього по розділу 5:</t>
  </si>
  <si>
    <t>6. Модернізація та закупівля колісної техніки</t>
  </si>
  <si>
    <t>Усього по розділу 6:</t>
  </si>
  <si>
    <t>7. Інше</t>
  </si>
  <si>
    <t>Усього по розділу 7:</t>
  </si>
  <si>
    <t>Найменування заходів інвестиційної програми</t>
  </si>
  <si>
    <t>№ сторінки обґрунтовувальних матеріалів</t>
  </si>
  <si>
    <t>** Зазначити відповідний рік.</t>
  </si>
  <si>
    <t>Електролабораторії</t>
  </si>
  <si>
    <t>Вантажні автомобілі</t>
  </si>
  <si>
    <t>Причепи, напівпричепи</t>
  </si>
  <si>
    <t>Автомайстерні</t>
  </si>
  <si>
    <t>Автонавантажувачі</t>
  </si>
  <si>
    <t>* У тому числі орендованої на довгостроковий період (більше року).</t>
  </si>
  <si>
    <t>№ з/п</t>
  </si>
  <si>
    <t>Цільові програми</t>
  </si>
  <si>
    <t>у т.ч. по роках:</t>
  </si>
  <si>
    <t>%</t>
  </si>
  <si>
    <t>Впровадження та розвиток інформаційних технологій</t>
  </si>
  <si>
    <t>Інше</t>
  </si>
  <si>
    <t>Разом</t>
  </si>
  <si>
    <t>Складові цільової програми</t>
  </si>
  <si>
    <t>ТС 0,4 кВ</t>
  </si>
  <si>
    <t>ТС, ТН 6(10)-150 кВ</t>
  </si>
  <si>
    <t>сільським</t>
  </si>
  <si>
    <t>міським</t>
  </si>
  <si>
    <t>зниження ТВЕ</t>
  </si>
  <si>
    <t>Придбання обладнання, що не вимагає монтажу</t>
  </si>
  <si>
    <t>кількість</t>
  </si>
  <si>
    <t>І квартал</t>
  </si>
  <si>
    <t>ІІ квартал</t>
  </si>
  <si>
    <t>ІІІ квартал</t>
  </si>
  <si>
    <t>Назва продукції</t>
  </si>
  <si>
    <t>Одиниця виміру</t>
  </si>
  <si>
    <t>Джерело фінансування</t>
  </si>
  <si>
    <t>110 кВ</t>
  </si>
  <si>
    <t>км</t>
  </si>
  <si>
    <t>вимагають заміни з метою зниження ТВЕ</t>
  </si>
  <si>
    <t>Назва показника</t>
  </si>
  <si>
    <t xml:space="preserve">з них на дерев'яних опорах </t>
  </si>
  <si>
    <t>з них на дерев'яних опорах</t>
  </si>
  <si>
    <t>з них працюють понад 25 років</t>
  </si>
  <si>
    <t>з них потребують заміни</t>
  </si>
  <si>
    <t>з них підлягають списанню</t>
  </si>
  <si>
    <t>з них підлягають заміні та відновленню</t>
  </si>
  <si>
    <t>шт.</t>
  </si>
  <si>
    <t>150 кВ</t>
  </si>
  <si>
    <t>35кВ</t>
  </si>
  <si>
    <t>два і більше трансформатори</t>
  </si>
  <si>
    <t>два і більше джерел живлення</t>
  </si>
  <si>
    <t>пристрої компенсації реактивної потужності</t>
  </si>
  <si>
    <t>повітряних</t>
  </si>
  <si>
    <t>напругою 150 кВ</t>
  </si>
  <si>
    <t>напругою 110 кВ</t>
  </si>
  <si>
    <t>напругою 35 кВ</t>
  </si>
  <si>
    <t>напругою 10 кВ</t>
  </si>
  <si>
    <t>напругою 6 кВ</t>
  </si>
  <si>
    <t>у т.ч.:</t>
  </si>
  <si>
    <t>напругою 0,4 кВ і нижче</t>
  </si>
  <si>
    <t xml:space="preserve">напругою 0,4 кВ і нижче    </t>
  </si>
  <si>
    <t>з них працюють понад 30 років</t>
  </si>
  <si>
    <t>напругою 6 - 10 кВ</t>
  </si>
  <si>
    <t>напругою 110 кВ (150 кВ)</t>
  </si>
  <si>
    <t>у т. ч.:</t>
  </si>
  <si>
    <t>масляних</t>
  </si>
  <si>
    <t>Клас точності лічильника (необхідний)</t>
  </si>
  <si>
    <t>Клас точності лічильника (наявний)</t>
  </si>
  <si>
    <t>Примітка</t>
  </si>
  <si>
    <t>Найменування підстанцій (станцій) та приєднань</t>
  </si>
  <si>
    <t>Тип лічильника прийому/
віддачі</t>
  </si>
  <si>
    <t>до 8 років</t>
  </si>
  <si>
    <t>більше 30 років</t>
  </si>
  <si>
    <t>відсутні</t>
  </si>
  <si>
    <t>8 - 20 років</t>
  </si>
  <si>
    <t>20 - 30 років</t>
  </si>
  <si>
    <t>Загальна кількість точок обліку</t>
  </si>
  <si>
    <t>Прилади обліку</t>
  </si>
  <si>
    <t>з імпульсним виходом</t>
  </si>
  <si>
    <t>без імпульсного виходу</t>
  </si>
  <si>
    <t>на лініях напругою 35 кВ</t>
  </si>
  <si>
    <t>на лініях напругою 110 кВ</t>
  </si>
  <si>
    <t>білінгових систем</t>
  </si>
  <si>
    <t>Архіватори мови</t>
  </si>
  <si>
    <t>Цифрові реєстратори подій</t>
  </si>
  <si>
    <t>1 клас</t>
  </si>
  <si>
    <t>2 клас</t>
  </si>
  <si>
    <t>№ з\п</t>
  </si>
  <si>
    <t>Показники капіталовкладень</t>
  </si>
  <si>
    <t xml:space="preserve"> амортизаційні відрахування</t>
  </si>
  <si>
    <t>Залучені кошти</t>
  </si>
  <si>
    <t>Кредити</t>
  </si>
  <si>
    <t>Іноземні інвестиції</t>
  </si>
  <si>
    <t>Технічна допомога (гранти)</t>
  </si>
  <si>
    <t xml:space="preserve"> Інші (розшифрувати)</t>
  </si>
  <si>
    <t>Власні кошти</t>
  </si>
  <si>
    <t>Інші (розшифрувати)</t>
  </si>
  <si>
    <t>Одиниці виміру</t>
  </si>
  <si>
    <t>в динаміці за останні п’ять років</t>
  </si>
  <si>
    <t>Кількість споживачів (абонентів) ліцензіата:</t>
  </si>
  <si>
    <t>з них населення</t>
  </si>
  <si>
    <t>з них повітряних:</t>
  </si>
  <si>
    <t>35 кВ</t>
  </si>
  <si>
    <t>6/10 кВ</t>
  </si>
  <si>
    <t>кабельних:</t>
  </si>
  <si>
    <t>Нормативна чисельність персоналу, осіб</t>
  </si>
  <si>
    <t>прогноз</t>
  </si>
  <si>
    <t>факт</t>
  </si>
  <si>
    <t xml:space="preserve">прогноз </t>
  </si>
  <si>
    <t>від діяльності з передачі</t>
  </si>
  <si>
    <t>від діяльності з постачання</t>
  </si>
  <si>
    <t>Понаднормативні втрати, %</t>
  </si>
  <si>
    <t>Сумарна потужність власних трансформаторів, МВА:</t>
  </si>
  <si>
    <t>відритих</t>
  </si>
  <si>
    <t>закритих</t>
  </si>
  <si>
    <t xml:space="preserve">   однотрансформаторних</t>
  </si>
  <si>
    <t xml:space="preserve">      з них щоглових</t>
  </si>
  <si>
    <t xml:space="preserve">   двотрансформаторних</t>
  </si>
  <si>
    <t>Кількість приладів обліку, шт.</t>
  </si>
  <si>
    <t>Клас точності приладу обліку</t>
  </si>
  <si>
    <t>Кількість лічильників, які не відповідають вимогам нормативних документів</t>
  </si>
  <si>
    <t>з відгалуженями від 15 до 50 км</t>
  </si>
  <si>
    <t>Найменування об'єктів</t>
  </si>
  <si>
    <t>Пропозиції щодо подальшого використання</t>
  </si>
  <si>
    <t>3. План інвестицій за джерелами фінансування інвестиційної програми на 5 років</t>
  </si>
  <si>
    <t>підлягає капітальному ремонту</t>
  </si>
  <si>
    <t>підлягає повній заміні</t>
  </si>
  <si>
    <t>підлягає реконструкції</t>
  </si>
  <si>
    <t>Ліній електропередач</t>
  </si>
  <si>
    <t>Підстанцій</t>
  </si>
  <si>
    <t>Обсяг основних фондів в умовних одиницях, всього</t>
  </si>
  <si>
    <t>У промислових споживачів</t>
  </si>
  <si>
    <t>Лічильники</t>
  </si>
  <si>
    <t>ПЕРЕВІРКА</t>
  </si>
  <si>
    <t xml:space="preserve">на балансі </t>
  </si>
  <si>
    <t>багатотарифні</t>
  </si>
  <si>
    <t xml:space="preserve">з поперед-
ньою 
оплатою </t>
  </si>
  <si>
    <t>споживачів</t>
  </si>
  <si>
    <t>індукцій-
них</t>
  </si>
  <si>
    <t>електрон-
них</t>
  </si>
  <si>
    <t>до 4</t>
  </si>
  <si>
    <t>до 8</t>
  </si>
  <si>
    <t>до 12</t>
  </si>
  <si>
    <t>більше 12</t>
  </si>
  <si>
    <t>до 6</t>
  </si>
  <si>
    <t>більше 6</t>
  </si>
  <si>
    <t>(2)=(3+4)</t>
  </si>
  <si>
    <t>(4)=(5+6)</t>
  </si>
  <si>
    <t>(10)=(11+12)</t>
  </si>
  <si>
    <t>(13)=(14+15)</t>
  </si>
  <si>
    <t>Х</t>
  </si>
  <si>
    <t>(16)=(17+18+19)</t>
  </si>
  <si>
    <t>(16)=(20+21+22+23)</t>
  </si>
  <si>
    <t>(25+26)=(27+28)</t>
  </si>
  <si>
    <t>(4)=(16+24)</t>
  </si>
  <si>
    <t>1 фазні</t>
  </si>
  <si>
    <t>3 фазні</t>
  </si>
  <si>
    <t xml:space="preserve">Разом </t>
  </si>
  <si>
    <t xml:space="preserve">У непромислових споживачів </t>
  </si>
  <si>
    <t xml:space="preserve">з поперед-
ньою оплатою </t>
  </si>
  <si>
    <t xml:space="preserve">У побутових споживачів </t>
  </si>
  <si>
    <t>до 16</t>
  </si>
  <si>
    <t>до 24</t>
  </si>
  <si>
    <t>більше 24</t>
  </si>
  <si>
    <t>Таблиця 4.А</t>
  </si>
  <si>
    <t>індукційних</t>
  </si>
  <si>
    <t>електронних</t>
  </si>
  <si>
    <t>(16)=(17+18)</t>
  </si>
  <si>
    <t>(4)=(7+8)</t>
  </si>
  <si>
    <t>5. Загальний опис робіт</t>
  </si>
  <si>
    <t>№ сторінки пояснювальної записки</t>
  </si>
  <si>
    <t>Будівництво, реконструкція та модернізація електричних мереж, у т.ч:</t>
  </si>
  <si>
    <t>0,4 кВ</t>
  </si>
  <si>
    <t>Будівництво, модернізація та реконструкція електричних мереж та обладнання</t>
  </si>
  <si>
    <t>Показник</t>
  </si>
  <si>
    <t>Середньомісячна заробітна плата працівників, грн</t>
  </si>
  <si>
    <t>База нарахування прибутку, тис. грн</t>
  </si>
  <si>
    <t>1.1</t>
  </si>
  <si>
    <t>1.2</t>
  </si>
  <si>
    <t>1</t>
  </si>
  <si>
    <t>1.1.1</t>
  </si>
  <si>
    <t>1.2.1</t>
  </si>
  <si>
    <t>2.1</t>
  </si>
  <si>
    <t>2.1.1</t>
  </si>
  <si>
    <t>2.2</t>
  </si>
  <si>
    <t>2.2.1</t>
  </si>
  <si>
    <t>3.1</t>
  </si>
  <si>
    <t>3.1.1</t>
  </si>
  <si>
    <t>3.2</t>
  </si>
  <si>
    <t>3.2.1</t>
  </si>
  <si>
    <t>4.1</t>
  </si>
  <si>
    <t>4.1.1</t>
  </si>
  <si>
    <t>4.2</t>
  </si>
  <si>
    <t>4.2.1</t>
  </si>
  <si>
    <t>5.1</t>
  </si>
  <si>
    <t>5.1.1</t>
  </si>
  <si>
    <t>5.2</t>
  </si>
  <si>
    <t>5.2.1</t>
  </si>
  <si>
    <t>6.1</t>
  </si>
  <si>
    <t>6.1.1</t>
  </si>
  <si>
    <t>6.2.1</t>
  </si>
  <si>
    <t>6.2</t>
  </si>
  <si>
    <t>7.1</t>
  </si>
  <si>
    <t>7.1.1</t>
  </si>
  <si>
    <t>7.2</t>
  </si>
  <si>
    <t>8.1</t>
  </si>
  <si>
    <t>8.1.1</t>
  </si>
  <si>
    <t>8.2</t>
  </si>
  <si>
    <t>8.2.1</t>
  </si>
  <si>
    <t>9.1</t>
  </si>
  <si>
    <t>9.1.1</t>
  </si>
  <si>
    <t>9.2</t>
  </si>
  <si>
    <t>9.2.1</t>
  </si>
  <si>
    <t>9.3</t>
  </si>
  <si>
    <t>9.3.1</t>
  </si>
  <si>
    <t>10.1</t>
  </si>
  <si>
    <t>10.1.1</t>
  </si>
  <si>
    <t>10.2</t>
  </si>
  <si>
    <t>10.2.1</t>
  </si>
  <si>
    <t>10.3.1</t>
  </si>
  <si>
    <t>реконструкція ПЛ-0,4 кВ самоутримним ізольованим проводом</t>
  </si>
  <si>
    <t>4.2.2</t>
  </si>
  <si>
    <t>4.2.2.1</t>
  </si>
  <si>
    <t>2</t>
  </si>
  <si>
    <t>3</t>
  </si>
  <si>
    <t>4</t>
  </si>
  <si>
    <t>7</t>
  </si>
  <si>
    <t>8</t>
  </si>
  <si>
    <t>9</t>
  </si>
  <si>
    <t>10</t>
  </si>
  <si>
    <t>11</t>
  </si>
  <si>
    <t>км / шт</t>
  </si>
  <si>
    <t>7. Інноваційні заходи, передбачені інвестиційною програмою на прогнозний період</t>
  </si>
  <si>
    <t>Призначення (тип)</t>
  </si>
  <si>
    <t>Рік випуску</t>
  </si>
  <si>
    <t>Належність (структурний підрозділ, служба, РЕМ)</t>
  </si>
  <si>
    <t>Пропонується для заміни</t>
  </si>
  <si>
    <t>за місяць</t>
  </si>
  <si>
    <t>щорічні</t>
  </si>
  <si>
    <t>Витрати пального*, л/100 км</t>
  </si>
  <si>
    <t>Підстава для списання/
заміни</t>
  </si>
  <si>
    <t>Автокрани</t>
  </si>
  <si>
    <t>Автобурові машини</t>
  </si>
  <si>
    <t>1.3</t>
  </si>
  <si>
    <t>1.4</t>
  </si>
  <si>
    <t>1.5</t>
  </si>
  <si>
    <t>1.6</t>
  </si>
  <si>
    <r>
      <t xml:space="preserve">" </t>
    </r>
    <r>
      <rPr>
        <u/>
        <sz val="11"/>
        <rFont val="Times New Roman"/>
        <family val="1"/>
        <charset val="204"/>
      </rPr>
      <t>05</t>
    </r>
    <r>
      <rPr>
        <sz val="11"/>
        <rFont val="Times New Roman"/>
        <family val="1"/>
        <charset val="204"/>
      </rPr>
      <t xml:space="preserve"> " серпня 20</t>
    </r>
    <r>
      <rPr>
        <u/>
        <sz val="11"/>
        <rFont val="Times New Roman"/>
        <family val="1"/>
        <charset val="204"/>
      </rPr>
      <t>14</t>
    </r>
    <r>
      <rPr>
        <sz val="11"/>
        <rFont val="Times New Roman"/>
        <family val="1"/>
        <charset val="204"/>
      </rPr>
      <t xml:space="preserve"> р.</t>
    </r>
  </si>
  <si>
    <r>
      <t>"</t>
    </r>
    <r>
      <rPr>
        <u/>
        <sz val="11"/>
        <rFont val="Times New Roman"/>
        <family val="1"/>
        <charset val="204"/>
      </rPr>
      <t xml:space="preserve"> 05</t>
    </r>
    <r>
      <rPr>
        <sz val="11"/>
        <rFont val="Times New Roman"/>
        <family val="1"/>
        <charset val="204"/>
      </rPr>
      <t xml:space="preserve"> " серпня 20</t>
    </r>
    <r>
      <rPr>
        <u/>
        <sz val="11"/>
        <rFont val="Times New Roman"/>
        <family val="1"/>
        <charset val="204"/>
      </rPr>
      <t>14</t>
    </r>
    <r>
      <rPr>
        <sz val="11"/>
        <rFont val="Times New Roman"/>
        <family val="1"/>
        <charset val="204"/>
      </rPr>
      <t xml:space="preserve"> р.</t>
    </r>
  </si>
  <si>
    <t>Обсяг здійсненого фінансування з початку виконання робіт на дату початку 2013 року, тис. грн (без ПДВ)</t>
  </si>
  <si>
    <t>Обсяг фінансування, передбачений інвестиційною програмою на 2013 рік,
тис. грн (без ПДВ)</t>
  </si>
  <si>
    <t>Вартість виконаних робіт (згідно з актами) з початку виконання робіт на дату початку 2013 року,
тис. грн (без ПДВ)</t>
  </si>
  <si>
    <t>Обсяг незавершеного будівництва станом на дату початку 2013 року,
тис. грн (без ПДВ)</t>
  </si>
  <si>
    <t>Залишок кошторисної вартості на дату початку 2013 року,
тис. грн (без ПДВ)</t>
  </si>
  <si>
    <r>
      <t xml:space="preserve">" </t>
    </r>
    <r>
      <rPr>
        <u/>
        <sz val="11"/>
        <rFont val="Times New Roman"/>
        <family val="1"/>
        <charset val="204"/>
      </rPr>
      <t>05</t>
    </r>
    <r>
      <rPr>
        <sz val="11"/>
        <rFont val="Times New Roman"/>
        <family val="1"/>
        <charset val="204"/>
      </rPr>
      <t xml:space="preserve"> " </t>
    </r>
    <r>
      <rPr>
        <u/>
        <sz val="11"/>
        <rFont val="Times New Roman"/>
        <family val="1"/>
        <charset val="204"/>
      </rPr>
      <t>серпня</t>
    </r>
    <r>
      <rPr>
        <sz val="11"/>
        <rFont val="Times New Roman"/>
        <family val="1"/>
        <charset val="204"/>
      </rPr>
      <t xml:space="preserve"> 20</t>
    </r>
    <r>
      <rPr>
        <u/>
        <sz val="11"/>
        <rFont val="Times New Roman"/>
        <family val="1"/>
        <charset val="204"/>
      </rPr>
      <t>14</t>
    </r>
    <r>
      <rPr>
        <sz val="11"/>
        <rFont val="Times New Roman"/>
        <family val="1"/>
        <charset val="204"/>
      </rPr>
      <t xml:space="preserve"> р.</t>
    </r>
  </si>
  <si>
    <t>Прогнозний технічний стан на кінець 2014 року з урахуванням обсягів запланованих робіт</t>
  </si>
  <si>
    <t>Березнівський РЕМ</t>
  </si>
  <si>
    <t>Володимирецький РЕМ</t>
  </si>
  <si>
    <t>Гощанський РЕМ</t>
  </si>
  <si>
    <t>Дубенський РЕМ</t>
  </si>
  <si>
    <t>Дубровицький РЕМ</t>
  </si>
  <si>
    <t>Зарічненський РЕМ</t>
  </si>
  <si>
    <t>Здолбунівський РЕМ</t>
  </si>
  <si>
    <t>Корецький РЕМ</t>
  </si>
  <si>
    <t>Костопільський РЕМ</t>
  </si>
  <si>
    <t>Млинівський РЕМ</t>
  </si>
  <si>
    <t>Острозький РЕМ</t>
  </si>
  <si>
    <t>Рівненський РЕМ</t>
  </si>
  <si>
    <t>Рокитнівський РЕМ</t>
  </si>
  <si>
    <t>Сарненський РЕМ</t>
  </si>
  <si>
    <t>Радивилівський РЕМ</t>
  </si>
  <si>
    <t>Рівненський міський РЕМ</t>
  </si>
  <si>
    <r>
      <t>" 05 " серпня  20</t>
    </r>
    <r>
      <rPr>
        <u/>
        <sz val="11"/>
        <rFont val="Times New Roman"/>
        <family val="1"/>
        <charset val="204"/>
      </rPr>
      <t>14</t>
    </r>
    <r>
      <rPr>
        <sz val="11"/>
        <rFont val="Times New Roman"/>
        <family val="1"/>
        <charset val="204"/>
      </rPr>
      <t xml:space="preserve"> р.</t>
    </r>
  </si>
  <si>
    <r>
      <t>" 05  " серпня  20</t>
    </r>
    <r>
      <rPr>
        <u/>
        <sz val="11"/>
        <rFont val="Times New Roman"/>
        <family val="1"/>
        <charset val="204"/>
      </rPr>
      <t>14</t>
    </r>
    <r>
      <rPr>
        <sz val="11"/>
        <rFont val="Times New Roman"/>
        <family val="1"/>
        <charset val="204"/>
      </rPr>
      <t xml:space="preserve"> р.</t>
    </r>
  </si>
  <si>
    <r>
      <t>" 05 " серпня   20</t>
    </r>
    <r>
      <rPr>
        <u/>
        <sz val="11"/>
        <rFont val="Times New Roman"/>
        <family val="1"/>
        <charset val="204"/>
      </rPr>
      <t>14</t>
    </r>
    <r>
      <rPr>
        <sz val="11"/>
        <rFont val="Times New Roman"/>
        <family val="1"/>
        <charset val="204"/>
      </rPr>
      <t xml:space="preserve"> р.</t>
    </r>
  </si>
  <si>
    <r>
      <t>" 05 "  серпня 20</t>
    </r>
    <r>
      <rPr>
        <u/>
        <sz val="11"/>
        <rFont val="Times New Roman"/>
        <family val="1"/>
        <charset val="204"/>
      </rPr>
      <t>14</t>
    </r>
    <r>
      <rPr>
        <sz val="11"/>
        <rFont val="Times New Roman"/>
        <family val="1"/>
        <charset val="204"/>
      </rPr>
      <t xml:space="preserve"> р.</t>
    </r>
  </si>
</sst>
</file>

<file path=xl/styles.xml><?xml version="1.0" encoding="utf-8"?>
<styleSheet xmlns="http://schemas.openxmlformats.org/spreadsheetml/2006/main">
  <numFmts count="14">
    <numFmt numFmtId="164" formatCode="#,##0.0"/>
    <numFmt numFmtId="165" formatCode="#,##0.000_ ;[Red]\-#,##0.000\ "/>
    <numFmt numFmtId="166" formatCode="#,##0_ ;[Red]\-#,##0\ "/>
    <numFmt numFmtId="167" formatCode="#,##0.0_ ;[Red]\-#,##0.0\ "/>
    <numFmt numFmtId="168" formatCode="0.0%"/>
    <numFmt numFmtId="169" formatCode="0.000"/>
    <numFmt numFmtId="170" formatCode="#,##0.00_ ;[Red]\-#,##0.00\ "/>
    <numFmt numFmtId="171" formatCode="#,##0.000000"/>
    <numFmt numFmtId="172" formatCode="0.0"/>
    <numFmt numFmtId="173" formatCode="#,##0.000"/>
    <numFmt numFmtId="174" formatCode="#,##0.00_ ;\-#,##0.00\ "/>
    <numFmt numFmtId="175" formatCode="#,##0.00000"/>
    <numFmt numFmtId="176" formatCode="#,##0.0000000_ ;[Red]\-#,##0.0000000\ "/>
    <numFmt numFmtId="177" formatCode="0.00000"/>
  </numFmts>
  <fonts count="71">
    <font>
      <sz val="10"/>
      <name val="Arial Cyr"/>
      <charset val="204"/>
    </font>
    <font>
      <sz val="10"/>
      <name val="Arial Cyr"/>
      <charset val="204"/>
    </font>
    <font>
      <sz val="8"/>
      <name val="Arial Cyr"/>
      <charset val="204"/>
    </font>
    <font>
      <sz val="10"/>
      <name val="Arial"/>
      <family val="2"/>
      <charset val="204"/>
    </font>
    <font>
      <b/>
      <sz val="10"/>
      <name val="Arial"/>
      <family val="2"/>
      <charset val="204"/>
    </font>
    <font>
      <b/>
      <sz val="10"/>
      <name val="Times New Roman"/>
      <family val="1"/>
      <charset val="204"/>
    </font>
    <font>
      <sz val="10"/>
      <name val="Arial Cyr"/>
      <charset val="204"/>
    </font>
    <font>
      <sz val="10"/>
      <name val="Times New Roman"/>
      <family val="1"/>
      <charset val="204"/>
    </font>
    <font>
      <sz val="10"/>
      <name val="Arial Cyr"/>
      <charset val="204"/>
    </font>
    <font>
      <sz val="10"/>
      <name val="PragmaticaCTT"/>
      <charset val="204"/>
    </font>
    <font>
      <sz val="12"/>
      <name val="Times New Roman"/>
      <family val="1"/>
      <charset val="204"/>
    </font>
    <font>
      <b/>
      <sz val="12"/>
      <name val="Times New Roman"/>
      <family val="1"/>
      <charset val="204"/>
    </font>
    <font>
      <sz val="10"/>
      <name val="Arial CE"/>
      <charset val="204"/>
    </font>
    <font>
      <sz val="10"/>
      <name val="Arial Cyr"/>
      <charset val="204"/>
    </font>
    <font>
      <sz val="10"/>
      <name val="Arial Cyr"/>
      <charset val="204"/>
    </font>
    <font>
      <sz val="10"/>
      <name val="Times New Roman Cyr"/>
      <family val="1"/>
      <charset val="204"/>
    </font>
    <font>
      <sz val="14"/>
      <name val="Times New Roman"/>
      <family val="1"/>
      <charset val="204"/>
    </font>
    <font>
      <sz val="11"/>
      <name val="Times New Roman"/>
      <family val="1"/>
      <charset val="204"/>
    </font>
    <font>
      <b/>
      <sz val="14"/>
      <name val="Times New Roman"/>
      <family val="1"/>
      <charset val="204"/>
    </font>
    <font>
      <b/>
      <sz val="11"/>
      <name val="Times New Roman"/>
      <family val="1"/>
      <charset val="204"/>
    </font>
    <font>
      <b/>
      <sz val="16"/>
      <name val="Times New Roman"/>
      <family val="1"/>
      <charset val="204"/>
    </font>
    <font>
      <b/>
      <i/>
      <sz val="11"/>
      <name val="Times New Roman"/>
      <family val="1"/>
      <charset val="204"/>
    </font>
    <font>
      <i/>
      <sz val="11"/>
      <name val="Times New Roman"/>
      <family val="1"/>
      <charset val="204"/>
    </font>
    <font>
      <b/>
      <i/>
      <sz val="11"/>
      <color indexed="12"/>
      <name val="Times New Roman"/>
      <family val="1"/>
      <charset val="204"/>
    </font>
    <font>
      <vertAlign val="superscript"/>
      <sz val="11"/>
      <name val="Times New Roman"/>
      <family val="1"/>
      <charset val="204"/>
    </font>
    <font>
      <sz val="13"/>
      <name val="Times New Roman"/>
      <family val="1"/>
      <charset val="204"/>
    </font>
    <font>
      <sz val="15"/>
      <name val="Times New Roman"/>
      <family val="1"/>
      <charset val="204"/>
    </font>
    <font>
      <i/>
      <sz val="10"/>
      <name val="Times New Roman"/>
      <family val="1"/>
      <charset val="204"/>
    </font>
    <font>
      <b/>
      <sz val="11"/>
      <color indexed="10"/>
      <name val="Times New Roman"/>
      <family val="1"/>
      <charset val="204"/>
    </font>
    <font>
      <b/>
      <i/>
      <sz val="11"/>
      <name val="Arial"/>
      <family val="2"/>
      <charset val="204"/>
    </font>
    <font>
      <u/>
      <sz val="11"/>
      <name val="Times New Roman"/>
      <family val="1"/>
      <charset val="204"/>
    </font>
    <font>
      <b/>
      <u/>
      <sz val="11"/>
      <name val="Times New Roman"/>
      <family val="1"/>
      <charset val="204"/>
    </font>
    <font>
      <sz val="11"/>
      <color indexed="8"/>
      <name val="Times New Roman"/>
      <family val="1"/>
      <charset val="204"/>
    </font>
    <font>
      <sz val="10"/>
      <color indexed="8"/>
      <name val="MS Sans Serif"/>
      <family val="2"/>
      <charset val="204"/>
    </font>
    <font>
      <b/>
      <sz val="8"/>
      <color indexed="81"/>
      <name val="Tahoma"/>
      <family val="2"/>
      <charset val="204"/>
    </font>
    <font>
      <sz val="8"/>
      <color indexed="81"/>
      <name val="Tahoma"/>
      <family val="2"/>
      <charset val="204"/>
    </font>
    <font>
      <b/>
      <i/>
      <sz val="10"/>
      <name val="Times New Roman"/>
      <family val="1"/>
      <charset val="204"/>
    </font>
    <font>
      <i/>
      <sz val="12"/>
      <name val="Times New Roman"/>
      <family val="1"/>
      <charset val="204"/>
    </font>
    <font>
      <sz val="8"/>
      <name val="Times New Roman"/>
      <family val="1"/>
      <charset val="204"/>
    </font>
    <font>
      <sz val="10"/>
      <color indexed="8"/>
      <name val="Arial"/>
      <family val="2"/>
      <charset val="204"/>
    </font>
    <font>
      <i/>
      <sz val="10"/>
      <color indexed="8"/>
      <name val="Arial"/>
      <family val="2"/>
      <charset val="204"/>
    </font>
    <font>
      <i/>
      <sz val="10"/>
      <name val="Arial"/>
      <family val="2"/>
      <charset val="204"/>
    </font>
    <font>
      <sz val="10"/>
      <color indexed="8"/>
      <name val="Times New Roman"/>
      <family val="1"/>
      <charset val="204"/>
    </font>
    <font>
      <b/>
      <sz val="11"/>
      <color indexed="8"/>
      <name val="Times New Roman"/>
      <family val="1"/>
      <charset val="204"/>
    </font>
    <font>
      <b/>
      <sz val="10"/>
      <color indexed="8"/>
      <name val="Arial Cyr"/>
      <charset val="204"/>
    </font>
    <font>
      <b/>
      <i/>
      <sz val="10"/>
      <name val="Arial"/>
      <family val="2"/>
      <charset val="204"/>
    </font>
    <font>
      <b/>
      <sz val="11"/>
      <color indexed="10"/>
      <name val="Times New Roman"/>
      <family val="1"/>
      <charset val="204"/>
    </font>
    <font>
      <b/>
      <i/>
      <u/>
      <sz val="8"/>
      <name val="Times New Roman"/>
      <family val="1"/>
      <charset val="204"/>
    </font>
    <font>
      <b/>
      <sz val="8"/>
      <name val="Times New Roman"/>
      <family val="1"/>
      <charset val="204"/>
    </font>
    <font>
      <b/>
      <sz val="11"/>
      <color indexed="12"/>
      <name val="Times New Roman"/>
      <family val="1"/>
      <charset val="204"/>
    </font>
    <font>
      <b/>
      <sz val="10"/>
      <name val="Arial Cyr"/>
      <charset val="204"/>
    </font>
    <font>
      <i/>
      <sz val="11"/>
      <color indexed="10"/>
      <name val="Times New Roman"/>
      <family val="1"/>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62"/>
      <name val="Cambria"/>
      <family val="2"/>
      <charset val="204"/>
    </font>
    <font>
      <b/>
      <sz val="11"/>
      <color indexed="8"/>
      <name val="Calibri"/>
      <family val="2"/>
      <charset val="204"/>
    </font>
    <font>
      <sz val="11"/>
      <color indexed="10"/>
      <name val="Calibri"/>
      <family val="2"/>
      <charset val="204"/>
    </font>
    <font>
      <b/>
      <sz val="9"/>
      <name val="Times New Roman"/>
      <family val="1"/>
      <charset val="204"/>
    </font>
    <font>
      <sz val="9"/>
      <name val="Times New Roman"/>
      <family val="1"/>
      <charset val="204"/>
    </font>
  </fonts>
  <fills count="27">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45"/>
      </patternFill>
    </fill>
    <fill>
      <patternFill patternType="solid">
        <fgColor indexed="42"/>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47"/>
        <bgColor indexed="64"/>
      </patternFill>
    </fill>
    <fill>
      <patternFill patternType="solid">
        <fgColor indexed="22"/>
        <bgColor indexed="64"/>
      </patternFill>
    </fill>
    <fill>
      <patternFill patternType="solid">
        <fgColor indexed="13"/>
        <bgColor indexed="64"/>
      </patternFill>
    </fill>
    <fill>
      <patternFill patternType="solid">
        <fgColor indexed="44"/>
        <bgColor indexed="64"/>
      </patternFill>
    </fill>
  </fills>
  <borders count="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right style="medium">
        <color indexed="64"/>
      </right>
      <top/>
      <bottom/>
      <diagonal/>
    </border>
    <border>
      <left/>
      <right style="thin">
        <color indexed="64"/>
      </right>
      <top/>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70">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2" borderId="0" applyNumberFormat="0" applyBorder="0" applyAlignment="0" applyProtection="0"/>
    <xf numFmtId="0" fontId="52" fillId="5" borderId="0" applyNumberFormat="0" applyBorder="0" applyAlignment="0" applyProtection="0"/>
    <xf numFmtId="0" fontId="52" fillId="3"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2" fillId="3"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8" borderId="0" applyNumberFormat="0" applyBorder="0" applyAlignment="0" applyProtection="0"/>
    <xf numFmtId="0" fontId="53" fillId="12" borderId="0" applyNumberFormat="0" applyBorder="0" applyAlignment="0" applyProtection="0"/>
    <xf numFmtId="0" fontId="53" fillId="3"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2" borderId="0" applyNumberFormat="0" applyBorder="0" applyAlignment="0" applyProtection="0"/>
    <xf numFmtId="0" fontId="53" fillId="16" borderId="0" applyNumberFormat="0" applyBorder="0" applyAlignment="0" applyProtection="0"/>
    <xf numFmtId="0" fontId="54" fillId="6" borderId="0" applyNumberFormat="0" applyBorder="0" applyAlignment="0" applyProtection="0"/>
    <xf numFmtId="0" fontId="55" fillId="2" borderId="1" applyNumberFormat="0" applyAlignment="0" applyProtection="0"/>
    <xf numFmtId="0" fontId="56" fillId="17" borderId="2" applyNumberFormat="0" applyAlignment="0" applyProtection="0"/>
    <xf numFmtId="0" fontId="57" fillId="0" borderId="0" applyNumberFormat="0" applyFill="0" applyBorder="0" applyAlignment="0" applyProtection="0"/>
    <xf numFmtId="0" fontId="58" fillId="7"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6"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62" fillId="3" borderId="1" applyNumberFormat="0" applyAlignment="0" applyProtection="0"/>
    <xf numFmtId="0" fontId="63" fillId="0" borderId="6" applyNumberFormat="0" applyFill="0" applyAlignment="0" applyProtection="0"/>
    <xf numFmtId="0" fontId="64" fillId="10" borderId="0" applyNumberFormat="0" applyBorder="0" applyAlignment="0" applyProtection="0"/>
    <xf numFmtId="0" fontId="1" fillId="4" borderId="7" applyNumberFormat="0" applyFont="0" applyAlignment="0" applyProtection="0"/>
    <xf numFmtId="0" fontId="65" fillId="2" borderId="8" applyNumberFormat="0" applyAlignment="0" applyProtection="0"/>
    <xf numFmtId="0" fontId="66" fillId="0" borderId="0" applyNumberFormat="0" applyFill="0" applyBorder="0" applyAlignment="0" applyProtection="0"/>
    <xf numFmtId="0" fontId="67" fillId="0" borderId="9" applyNumberFormat="0" applyFill="0" applyAlignment="0" applyProtection="0"/>
    <xf numFmtId="0" fontId="68" fillId="0" borderId="0" applyNumberFormat="0" applyFill="0" applyBorder="0" applyAlignment="0" applyProtection="0"/>
    <xf numFmtId="0" fontId="1" fillId="0" borderId="0"/>
    <xf numFmtId="0" fontId="1" fillId="0" borderId="0"/>
    <xf numFmtId="0" fontId="5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9" fillId="0" borderId="0"/>
    <xf numFmtId="0" fontId="9" fillId="0" borderId="0"/>
    <xf numFmtId="0" fontId="1" fillId="0" borderId="0"/>
    <xf numFmtId="0" fontId="1" fillId="0" borderId="0"/>
    <xf numFmtId="0" fontId="9" fillId="0" borderId="0"/>
    <xf numFmtId="0" fontId="9" fillId="0" borderId="0"/>
    <xf numFmtId="9" fontId="1" fillId="0" borderId="0" applyFont="0" applyFill="0" applyBorder="0" applyAlignment="0" applyProtection="0"/>
    <xf numFmtId="9" fontId="3" fillId="0" borderId="0" applyFont="0" applyFill="0" applyBorder="0" applyAlignment="0" applyProtection="0"/>
    <xf numFmtId="0" fontId="33" fillId="0" borderId="0"/>
  </cellStyleXfs>
  <cellXfs count="1374">
    <xf numFmtId="0" fontId="0" fillId="0" borderId="0" xfId="0"/>
    <xf numFmtId="0" fontId="0" fillId="0" borderId="0" xfId="34" applyFont="1" applyProtection="1"/>
    <xf numFmtId="0" fontId="0" fillId="0" borderId="0" xfId="34" applyFont="1" applyAlignment="1" applyProtection="1">
      <alignment horizontal="center" vertical="center" wrapText="1"/>
      <protection locked="0"/>
    </xf>
    <xf numFmtId="0" fontId="0" fillId="0" borderId="0" xfId="34" applyFont="1" applyAlignment="1" applyProtection="1">
      <alignment horizontal="center" vertical="center" wrapText="1"/>
    </xf>
    <xf numFmtId="0" fontId="0" fillId="0" borderId="0" xfId="34" applyFont="1" applyAlignment="1" applyProtection="1">
      <alignment horizontal="center"/>
    </xf>
    <xf numFmtId="0" fontId="0" fillId="0" borderId="0" xfId="34" applyFont="1" applyFill="1" applyProtection="1"/>
    <xf numFmtId="1" fontId="0" fillId="0" borderId="0" xfId="34" applyNumberFormat="1" applyFont="1" applyBorder="1" applyAlignment="1" applyProtection="1">
      <alignment horizontal="center" vertical="center" wrapText="1"/>
    </xf>
    <xf numFmtId="1" fontId="0" fillId="0" borderId="0" xfId="34" applyNumberFormat="1" applyFont="1" applyAlignment="1" applyProtection="1">
      <alignment horizontal="center" vertical="center" wrapText="1"/>
    </xf>
    <xf numFmtId="3" fontId="3" fillId="0" borderId="0" xfId="34" applyNumberFormat="1" applyFont="1" applyFill="1"/>
    <xf numFmtId="3" fontId="3" fillId="0" borderId="0" xfId="34" applyNumberFormat="1" applyFont="1" applyFill="1" applyAlignment="1">
      <alignment horizontal="center"/>
    </xf>
    <xf numFmtId="0" fontId="6" fillId="0" borderId="0" xfId="34" applyFont="1" applyFill="1" applyAlignment="1">
      <alignment horizontal="center" vertical="center" wrapText="1"/>
    </xf>
    <xf numFmtId="0" fontId="7" fillId="0" borderId="10" xfId="34" applyFont="1" applyFill="1" applyBorder="1" applyAlignment="1">
      <alignment horizontal="center" vertical="center"/>
    </xf>
    <xf numFmtId="0" fontId="7" fillId="0" borderId="10" xfId="34" applyFont="1" applyFill="1" applyBorder="1" applyAlignment="1">
      <alignment horizontal="center" vertical="center" wrapText="1"/>
    </xf>
    <xf numFmtId="0" fontId="10" fillId="0" borderId="0" xfId="34" applyFont="1" applyAlignment="1">
      <alignment horizontal="center"/>
    </xf>
    <xf numFmtId="0" fontId="6" fillId="0" borderId="0" xfId="34" applyFont="1" applyFill="1" applyBorder="1" applyAlignment="1">
      <alignment horizontal="center" vertical="center" wrapText="1"/>
    </xf>
    <xf numFmtId="0" fontId="6" fillId="0" borderId="0" xfId="34" applyFont="1" applyAlignment="1" applyProtection="1">
      <alignment horizontal="center" vertical="center" wrapText="1"/>
      <protection locked="0"/>
    </xf>
    <xf numFmtId="0" fontId="6" fillId="0" borderId="0" xfId="34" applyFont="1" applyBorder="1" applyAlignment="1" applyProtection="1">
      <alignment horizontal="center" vertical="center" wrapText="1"/>
      <protection locked="0"/>
    </xf>
    <xf numFmtId="0" fontId="6" fillId="0" borderId="0" xfId="34" applyFont="1" applyFill="1" applyAlignment="1" applyProtection="1">
      <alignment horizontal="center" vertical="center" wrapText="1"/>
      <protection locked="0"/>
    </xf>
    <xf numFmtId="0" fontId="6" fillId="0" borderId="0" xfId="34" applyFont="1"/>
    <xf numFmtId="0" fontId="6" fillId="0" borderId="0" xfId="34" applyFont="1" applyProtection="1"/>
    <xf numFmtId="0" fontId="6" fillId="0" borderId="0" xfId="34" applyFont="1" applyFill="1" applyProtection="1"/>
    <xf numFmtId="0" fontId="6" fillId="0" borderId="0" xfId="34" applyFont="1" applyFill="1" applyBorder="1" applyAlignment="1" applyProtection="1">
      <alignment horizontal="center" wrapText="1"/>
    </xf>
    <xf numFmtId="0" fontId="13" fillId="0" borderId="0" xfId="34" applyFont="1"/>
    <xf numFmtId="0" fontId="13" fillId="0" borderId="0" xfId="34" applyFont="1" applyAlignment="1">
      <alignment wrapText="1"/>
    </xf>
    <xf numFmtId="1" fontId="6" fillId="0" borderId="0" xfId="34" applyNumberFormat="1" applyFont="1" applyBorder="1" applyAlignment="1" applyProtection="1">
      <alignment horizontal="center" vertical="center" wrapText="1"/>
      <protection locked="0"/>
    </xf>
    <xf numFmtId="1" fontId="6" fillId="0" borderId="0" xfId="34" applyNumberFormat="1" applyFont="1" applyAlignment="1" applyProtection="1">
      <alignment horizontal="center" vertical="center" wrapText="1"/>
      <protection locked="0"/>
    </xf>
    <xf numFmtId="0" fontId="13" fillId="0" borderId="0" xfId="34" applyFont="1" applyAlignment="1">
      <alignment vertical="top" wrapText="1"/>
    </xf>
    <xf numFmtId="0" fontId="9" fillId="0" borderId="0" xfId="34" applyFont="1" applyAlignment="1" applyProtection="1">
      <alignment horizontal="center" vertical="center" wrapText="1"/>
      <protection locked="0"/>
    </xf>
    <xf numFmtId="0" fontId="9" fillId="0" borderId="0" xfId="34" applyFont="1" applyBorder="1" applyAlignment="1" applyProtection="1">
      <alignment horizontal="center" vertical="center" wrapText="1"/>
      <protection locked="0"/>
    </xf>
    <xf numFmtId="0" fontId="1" fillId="0" borderId="0" xfId="34" applyFont="1" applyFill="1" applyAlignment="1" applyProtection="1">
      <alignment horizontal="center" vertical="center" wrapText="1"/>
      <protection locked="0"/>
    </xf>
    <xf numFmtId="1" fontId="1" fillId="0" borderId="0" xfId="34" applyNumberFormat="1" applyFont="1" applyFill="1" applyAlignment="1" applyProtection="1">
      <alignment horizontal="center" vertical="center" wrapText="1"/>
      <protection locked="0"/>
    </xf>
    <xf numFmtId="0" fontId="9" fillId="0" borderId="0" xfId="34" applyFont="1" applyFill="1"/>
    <xf numFmtId="0" fontId="9" fillId="0" borderId="0" xfId="34" applyFont="1" applyProtection="1"/>
    <xf numFmtId="0" fontId="10" fillId="0" borderId="0" xfId="34" applyFont="1" applyAlignment="1"/>
    <xf numFmtId="0" fontId="9" fillId="0" borderId="0" xfId="34" applyFont="1" applyAlignment="1" applyProtection="1">
      <alignment horizontal="left" indent="4"/>
    </xf>
    <xf numFmtId="0" fontId="10" fillId="0" borderId="0" xfId="34" applyFont="1" applyAlignment="1">
      <alignment horizontal="left" indent="4"/>
    </xf>
    <xf numFmtId="0" fontId="17" fillId="0" borderId="11" xfId="34" applyFont="1" applyFill="1" applyBorder="1" applyAlignment="1" applyProtection="1">
      <alignment horizontal="center" vertical="center"/>
    </xf>
    <xf numFmtId="0" fontId="17" fillId="0" borderId="10" xfId="34" applyFont="1" applyFill="1" applyBorder="1" applyAlignment="1" applyProtection="1">
      <alignment horizontal="center" vertical="center" wrapText="1"/>
    </xf>
    <xf numFmtId="0" fontId="17" fillId="0" borderId="11" xfId="34" applyFont="1" applyFill="1" applyBorder="1" applyAlignment="1" applyProtection="1">
      <alignment horizontal="center" vertical="center" wrapText="1"/>
    </xf>
    <xf numFmtId="0" fontId="17" fillId="0" borderId="10" xfId="34" applyFont="1" applyFill="1" applyBorder="1" applyAlignment="1">
      <alignment horizontal="center" vertical="center" wrapText="1"/>
    </xf>
    <xf numFmtId="0" fontId="17" fillId="0" borderId="0" xfId="34" applyFont="1"/>
    <xf numFmtId="0" fontId="17" fillId="0" borderId="10" xfId="34" applyFont="1" applyFill="1" applyBorder="1" applyAlignment="1" applyProtection="1">
      <alignment horizontal="center" vertical="center" wrapText="1"/>
      <protection locked="0"/>
    </xf>
    <xf numFmtId="0" fontId="17" fillId="0" borderId="10" xfId="34" applyFont="1" applyFill="1" applyBorder="1" applyAlignment="1" applyProtection="1">
      <alignment wrapText="1"/>
    </xf>
    <xf numFmtId="0" fontId="19" fillId="0" borderId="10" xfId="34" applyFont="1" applyFill="1" applyBorder="1" applyAlignment="1" applyProtection="1">
      <alignment horizontal="left" vertical="center" wrapText="1"/>
    </xf>
    <xf numFmtId="0" fontId="17" fillId="0" borderId="10" xfId="34" applyFont="1" applyFill="1" applyBorder="1" applyAlignment="1" applyProtection="1">
      <alignment horizontal="left" vertical="top" wrapText="1"/>
    </xf>
    <xf numFmtId="0" fontId="17" fillId="0" borderId="10" xfId="34" applyFont="1" applyFill="1" applyBorder="1" applyAlignment="1" applyProtection="1">
      <alignment horizontal="center" vertical="center"/>
    </xf>
    <xf numFmtId="0" fontId="19" fillId="0" borderId="10" xfId="34" applyFont="1" applyFill="1" applyBorder="1" applyAlignment="1" applyProtection="1">
      <alignment horizontal="left" vertical="top" wrapText="1"/>
    </xf>
    <xf numFmtId="3" fontId="18" fillId="0" borderId="0" xfId="34" applyNumberFormat="1" applyFont="1" applyFill="1" applyBorder="1" applyAlignment="1">
      <alignment horizontal="left" vertical="center"/>
    </xf>
    <xf numFmtId="3" fontId="17" fillId="0" borderId="0" xfId="34" applyNumberFormat="1" applyFont="1" applyFill="1" applyBorder="1" applyAlignment="1">
      <alignment horizontal="center" vertical="center" wrapText="1"/>
    </xf>
    <xf numFmtId="0" fontId="21" fillId="0" borderId="0" xfId="34" applyFont="1" applyFill="1" applyBorder="1" applyAlignment="1">
      <alignment horizontal="center" vertical="center" wrapText="1"/>
    </xf>
    <xf numFmtId="3" fontId="21" fillId="0" borderId="0" xfId="34" applyNumberFormat="1" applyFont="1" applyFill="1" applyBorder="1" applyAlignment="1">
      <alignment horizontal="center" vertical="center" wrapText="1"/>
    </xf>
    <xf numFmtId="3" fontId="22" fillId="0" borderId="0" xfId="34" applyNumberFormat="1" applyFont="1" applyFill="1" applyBorder="1" applyAlignment="1">
      <alignment horizontal="center" vertical="center"/>
    </xf>
    <xf numFmtId="3" fontId="21" fillId="0" borderId="0" xfId="34" applyNumberFormat="1" applyFont="1" applyFill="1" applyBorder="1" applyAlignment="1">
      <alignment horizontal="center" vertical="center"/>
    </xf>
    <xf numFmtId="3" fontId="17" fillId="0" borderId="0" xfId="34" applyNumberFormat="1" applyFont="1" applyFill="1" applyBorder="1"/>
    <xf numFmtId="3" fontId="17" fillId="0" borderId="0" xfId="34" applyNumberFormat="1" applyFont="1" applyFill="1" applyAlignment="1">
      <alignment horizontal="center" vertical="center" wrapText="1"/>
    </xf>
    <xf numFmtId="3" fontId="17" fillId="0" borderId="0" xfId="34" applyNumberFormat="1" applyFont="1" applyFill="1"/>
    <xf numFmtId="3" fontId="19" fillId="0" borderId="0" xfId="34" applyNumberFormat="1" applyFont="1" applyFill="1" applyBorder="1" applyAlignment="1">
      <alignment horizontal="right" vertical="center"/>
    </xf>
    <xf numFmtId="164" fontId="17" fillId="0" borderId="0" xfId="34" applyNumberFormat="1" applyFont="1" applyFill="1" applyAlignment="1">
      <alignment horizontal="center"/>
    </xf>
    <xf numFmtId="3" fontId="17" fillId="0" borderId="0" xfId="34" applyNumberFormat="1" applyFont="1" applyFill="1" applyAlignment="1">
      <alignment horizontal="center"/>
    </xf>
    <xf numFmtId="3" fontId="19" fillId="0" borderId="0" xfId="34" applyNumberFormat="1" applyFont="1" applyFill="1" applyAlignment="1">
      <alignment horizontal="left" vertical="center"/>
    </xf>
    <xf numFmtId="10" fontId="17" fillId="0" borderId="10" xfId="34" applyNumberFormat="1" applyFont="1" applyFill="1" applyBorder="1" applyAlignment="1" applyProtection="1">
      <alignment horizontal="center" vertical="center" wrapText="1"/>
    </xf>
    <xf numFmtId="0" fontId="17" fillId="0" borderId="10" xfId="34" applyFont="1" applyFill="1" applyBorder="1" applyAlignment="1" applyProtection="1">
      <alignment horizontal="left" vertical="center" wrapText="1"/>
    </xf>
    <xf numFmtId="1" fontId="17" fillId="0" borderId="10" xfId="34" applyNumberFormat="1" applyFont="1" applyFill="1" applyBorder="1" applyAlignment="1" applyProtection="1">
      <alignment horizontal="center" vertical="center" wrapText="1"/>
      <protection locked="0"/>
    </xf>
    <xf numFmtId="0" fontId="17" fillId="0" borderId="10" xfId="34" applyFont="1" applyFill="1" applyBorder="1" applyAlignment="1" applyProtection="1">
      <alignment horizontal="left" vertical="center"/>
    </xf>
    <xf numFmtId="0" fontId="17" fillId="0" borderId="0" xfId="34" applyFont="1" applyFill="1" applyBorder="1" applyAlignment="1" applyProtection="1">
      <alignment horizontal="left" vertical="center" wrapText="1"/>
    </xf>
    <xf numFmtId="0" fontId="21" fillId="0" borderId="10" xfId="34" applyFont="1" applyFill="1" applyBorder="1" applyAlignment="1">
      <alignment horizontal="center"/>
    </xf>
    <xf numFmtId="0" fontId="19" fillId="0" borderId="10" xfId="34" applyFont="1" applyFill="1" applyBorder="1" applyAlignment="1">
      <alignment horizontal="left" vertical="center"/>
    </xf>
    <xf numFmtId="0" fontId="19" fillId="0" borderId="10" xfId="34" applyFont="1" applyFill="1" applyBorder="1" applyAlignment="1">
      <alignment vertical="center" wrapText="1"/>
    </xf>
    <xf numFmtId="0" fontId="19" fillId="0" borderId="10" xfId="34" applyFont="1" applyFill="1" applyBorder="1" applyAlignment="1">
      <alignment horizontal="center" vertical="center"/>
    </xf>
    <xf numFmtId="165" fontId="19" fillId="0" borderId="10" xfId="34" applyNumberFormat="1" applyFont="1" applyFill="1" applyBorder="1" applyAlignment="1">
      <alignment horizontal="center" vertical="center"/>
    </xf>
    <xf numFmtId="166" fontId="19" fillId="0" borderId="10" xfId="34" applyNumberFormat="1" applyFont="1" applyFill="1" applyBorder="1" applyAlignment="1">
      <alignment horizontal="center" vertical="center"/>
    </xf>
    <xf numFmtId="167" fontId="19" fillId="0" borderId="10" xfId="34" applyNumberFormat="1" applyFont="1" applyFill="1" applyBorder="1" applyAlignment="1">
      <alignment horizontal="center" vertical="center"/>
    </xf>
    <xf numFmtId="0" fontId="19" fillId="0" borderId="10" xfId="34" applyFont="1" applyFill="1" applyBorder="1" applyAlignment="1">
      <alignment horizontal="center" vertical="center" wrapText="1"/>
    </xf>
    <xf numFmtId="0" fontId="17" fillId="0" borderId="10" xfId="34" applyFont="1" applyFill="1" applyBorder="1" applyAlignment="1">
      <alignment horizontal="left" vertical="center" wrapText="1"/>
    </xf>
    <xf numFmtId="0" fontId="17" fillId="0" borderId="10" xfId="34" applyFont="1" applyFill="1" applyBorder="1" applyAlignment="1">
      <alignment vertical="center" wrapText="1"/>
    </xf>
    <xf numFmtId="0" fontId="17" fillId="0" borderId="10" xfId="34" applyFont="1" applyFill="1" applyBorder="1" applyAlignment="1">
      <alignment horizontal="center" vertical="center"/>
    </xf>
    <xf numFmtId="165" fontId="17" fillId="0" borderId="10" xfId="34" applyNumberFormat="1" applyFont="1" applyFill="1" applyBorder="1" applyAlignment="1">
      <alignment horizontal="center" vertical="center"/>
    </xf>
    <xf numFmtId="166" fontId="17" fillId="0" borderId="10" xfId="34" applyNumberFormat="1" applyFont="1" applyFill="1" applyBorder="1" applyAlignment="1">
      <alignment horizontal="center" vertical="center"/>
    </xf>
    <xf numFmtId="167" fontId="17" fillId="0" borderId="10" xfId="34" applyNumberFormat="1" applyFont="1" applyFill="1" applyBorder="1" applyAlignment="1">
      <alignment horizontal="center" vertical="center"/>
    </xf>
    <xf numFmtId="0" fontId="19" fillId="0" borderId="10" xfId="34" applyFont="1" applyFill="1" applyBorder="1" applyAlignment="1">
      <alignment vertical="center"/>
    </xf>
    <xf numFmtId="0" fontId="17" fillId="0" borderId="10" xfId="34" applyFont="1" applyFill="1" applyBorder="1" applyAlignment="1">
      <alignment horizontal="left" vertical="center"/>
    </xf>
    <xf numFmtId="0" fontId="17" fillId="0" borderId="0" xfId="34" applyFont="1" applyAlignment="1">
      <alignment wrapText="1"/>
    </xf>
    <xf numFmtId="0" fontId="17" fillId="0" borderId="0" xfId="34" applyFont="1" applyFill="1" applyProtection="1"/>
    <xf numFmtId="0" fontId="17" fillId="0" borderId="10" xfId="34" applyFont="1" applyFill="1" applyBorder="1" applyAlignment="1" applyProtection="1">
      <alignment horizontal="left" vertical="top" wrapText="1" indent="3"/>
    </xf>
    <xf numFmtId="4" fontId="17" fillId="0" borderId="10" xfId="34" applyNumberFormat="1" applyFont="1" applyFill="1" applyBorder="1" applyAlignment="1" applyProtection="1">
      <alignment horizontal="center" vertical="center" wrapText="1"/>
    </xf>
    <xf numFmtId="0" fontId="17" fillId="0" borderId="0" xfId="34" applyFont="1" applyFill="1" applyBorder="1" applyProtection="1"/>
    <xf numFmtId="0" fontId="17" fillId="0" borderId="10" xfId="34" applyFont="1" applyFill="1" applyBorder="1" applyAlignment="1" applyProtection="1">
      <alignment horizontal="left" vertical="top" wrapText="1" indent="2"/>
    </xf>
    <xf numFmtId="0" fontId="17" fillId="0" borderId="10" xfId="34" applyNumberFormat="1" applyFont="1" applyFill="1" applyBorder="1" applyAlignment="1" applyProtection="1">
      <alignment horizontal="center" vertical="center" wrapText="1"/>
    </xf>
    <xf numFmtId="0" fontId="17" fillId="0" borderId="0" xfId="34" applyFont="1" applyFill="1" applyAlignment="1" applyProtection="1">
      <alignment horizontal="center" vertical="center" wrapText="1"/>
      <protection locked="0"/>
    </xf>
    <xf numFmtId="0" fontId="17" fillId="0" borderId="12" xfId="34" applyFont="1" applyFill="1" applyBorder="1" applyProtection="1"/>
    <xf numFmtId="0" fontId="17" fillId="0" borderId="0" xfId="34" applyFont="1" applyFill="1"/>
    <xf numFmtId="0" fontId="17" fillId="0" borderId="13" xfId="34" applyFont="1" applyFill="1" applyBorder="1" applyAlignment="1" applyProtection="1">
      <alignment horizontal="center" vertical="center" wrapText="1"/>
      <protection locked="0"/>
    </xf>
    <xf numFmtId="49" fontId="17" fillId="0" borderId="10" xfId="34" applyNumberFormat="1" applyFont="1" applyFill="1" applyBorder="1" applyAlignment="1">
      <alignment horizontal="center" vertical="center"/>
    </xf>
    <xf numFmtId="0" fontId="17" fillId="0" borderId="10" xfId="34" applyFont="1" applyFill="1" applyBorder="1" applyAlignment="1">
      <alignment horizontal="center" wrapText="1"/>
    </xf>
    <xf numFmtId="0" fontId="0" fillId="0" borderId="0" xfId="34" applyFont="1" applyFill="1"/>
    <xf numFmtId="0" fontId="0" fillId="0" borderId="0" xfId="34" applyFont="1" applyFill="1" applyAlignment="1">
      <alignment wrapText="1"/>
    </xf>
    <xf numFmtId="0" fontId="7" fillId="0" borderId="10" xfId="34" applyFont="1" applyFill="1" applyBorder="1"/>
    <xf numFmtId="0" fontId="7" fillId="0" borderId="0" xfId="34" applyFont="1" applyFill="1"/>
    <xf numFmtId="0" fontId="15" fillId="0" borderId="0" xfId="34" applyFont="1" applyFill="1"/>
    <xf numFmtId="0" fontId="7" fillId="0" borderId="0" xfId="60" applyFont="1" applyFill="1" applyAlignment="1" applyProtection="1">
      <alignment horizontal="left" indent="3"/>
      <protection hidden="1"/>
    </xf>
    <xf numFmtId="0" fontId="17" fillId="0" borderId="10" xfId="34" applyFont="1" applyFill="1" applyBorder="1" applyProtection="1"/>
    <xf numFmtId="3" fontId="7" fillId="0" borderId="0" xfId="34" applyNumberFormat="1" applyFont="1" applyFill="1" applyAlignment="1">
      <alignment horizontal="center" vertical="center" wrapText="1"/>
    </xf>
    <xf numFmtId="3" fontId="7" fillId="0" borderId="0" xfId="34" applyNumberFormat="1" applyFont="1" applyFill="1"/>
    <xf numFmtId="3" fontId="17" fillId="0" borderId="0" xfId="34" applyNumberFormat="1" applyFont="1" applyFill="1" applyAlignment="1">
      <alignment vertical="center" wrapText="1"/>
    </xf>
    <xf numFmtId="3" fontId="19" fillId="0" borderId="0" xfId="34" applyNumberFormat="1" applyFont="1" applyFill="1" applyBorder="1" applyAlignment="1">
      <alignment horizontal="left" vertical="center"/>
    </xf>
    <xf numFmtId="3" fontId="19" fillId="0" borderId="0" xfId="34" applyNumberFormat="1" applyFont="1" applyFill="1" applyBorder="1" applyAlignment="1">
      <alignment horizontal="center" vertical="center" wrapText="1"/>
    </xf>
    <xf numFmtId="0" fontId="19" fillId="0" borderId="0" xfId="34" applyFont="1" applyFill="1" applyBorder="1" applyAlignment="1">
      <alignment horizontal="center" vertical="center" wrapText="1"/>
    </xf>
    <xf numFmtId="3" fontId="17" fillId="0" borderId="0" xfId="34" applyNumberFormat="1" applyFont="1" applyFill="1" applyBorder="1" applyAlignment="1" applyProtection="1">
      <alignment horizontal="center" vertical="center"/>
      <protection locked="0"/>
    </xf>
    <xf numFmtId="3" fontId="19" fillId="0" borderId="0" xfId="34" applyNumberFormat="1" applyFont="1" applyFill="1" applyBorder="1" applyAlignment="1">
      <alignment horizontal="center" vertical="center"/>
    </xf>
    <xf numFmtId="3" fontId="19" fillId="0" borderId="0" xfId="34" applyNumberFormat="1" applyFont="1" applyFill="1"/>
    <xf numFmtId="3" fontId="4" fillId="0" borderId="0" xfId="34" applyNumberFormat="1" applyFont="1" applyFill="1"/>
    <xf numFmtId="3" fontId="17" fillId="0" borderId="0" xfId="34" applyNumberFormat="1" applyFont="1" applyFill="1" applyBorder="1" applyAlignment="1">
      <alignment horizontal="center" vertical="center"/>
    </xf>
    <xf numFmtId="0" fontId="17" fillId="0" borderId="0" xfId="34" quotePrefix="1" applyFont="1" applyFill="1" applyBorder="1" applyAlignment="1">
      <alignment horizontal="center" vertical="center"/>
    </xf>
    <xf numFmtId="0" fontId="17" fillId="0" borderId="0" xfId="34" applyFont="1" applyFill="1" applyBorder="1" applyAlignment="1">
      <alignment horizontal="center" vertical="center"/>
    </xf>
    <xf numFmtId="3" fontId="19" fillId="0" borderId="0" xfId="34" applyNumberFormat="1" applyFont="1" applyFill="1" applyBorder="1"/>
    <xf numFmtId="3" fontId="4" fillId="0" borderId="0" xfId="34" applyNumberFormat="1" applyFont="1" applyFill="1" applyBorder="1"/>
    <xf numFmtId="3" fontId="17" fillId="0" borderId="0" xfId="34" applyNumberFormat="1" applyFont="1" applyFill="1" applyBorder="1" applyAlignment="1">
      <alignment horizontal="left" vertical="center"/>
    </xf>
    <xf numFmtId="3" fontId="3" fillId="0" borderId="0" xfId="34" applyNumberFormat="1" applyFont="1" applyFill="1" applyBorder="1"/>
    <xf numFmtId="164" fontId="3" fillId="0" borderId="0" xfId="34" applyNumberFormat="1" applyFont="1" applyFill="1"/>
    <xf numFmtId="4" fontId="3" fillId="0" borderId="0" xfId="34" applyNumberFormat="1" applyFont="1" applyFill="1"/>
    <xf numFmtId="1" fontId="0" fillId="0" borderId="12" xfId="34" applyNumberFormat="1" applyFont="1" applyFill="1" applyBorder="1" applyAlignment="1" applyProtection="1">
      <alignment horizontal="center" vertical="center" wrapText="1"/>
    </xf>
    <xf numFmtId="1" fontId="17" fillId="0" borderId="0" xfId="34" applyNumberFormat="1" applyFont="1" applyFill="1" applyAlignment="1" applyProtection="1">
      <alignment horizontal="center" vertical="center" wrapText="1"/>
      <protection locked="0"/>
    </xf>
    <xf numFmtId="0" fontId="19" fillId="0" borderId="10" xfId="34" applyFont="1" applyFill="1" applyBorder="1" applyAlignment="1">
      <alignment wrapText="1"/>
    </xf>
    <xf numFmtId="49" fontId="17" fillId="0" borderId="10" xfId="34" applyNumberFormat="1" applyFont="1" applyFill="1" applyBorder="1" applyAlignment="1">
      <alignment vertical="center" wrapText="1"/>
    </xf>
    <xf numFmtId="0" fontId="17" fillId="0" borderId="10" xfId="34" applyFont="1" applyFill="1" applyBorder="1"/>
    <xf numFmtId="49" fontId="17" fillId="0" borderId="10" xfId="34" applyNumberFormat="1" applyFont="1" applyFill="1" applyBorder="1" applyAlignment="1">
      <alignment horizontal="left" vertical="center" wrapText="1"/>
    </xf>
    <xf numFmtId="0" fontId="17" fillId="0" borderId="0" xfId="34" applyFont="1" applyFill="1" applyAlignment="1">
      <alignment wrapText="1"/>
    </xf>
    <xf numFmtId="0" fontId="7" fillId="0" borderId="0" xfId="34" applyFont="1" applyFill="1" applyProtection="1"/>
    <xf numFmtId="4" fontId="17" fillId="0" borderId="10" xfId="34" applyNumberFormat="1" applyFont="1" applyFill="1" applyBorder="1" applyAlignment="1" applyProtection="1">
      <alignment horizontal="center" vertical="center" wrapText="1"/>
      <protection locked="0"/>
    </xf>
    <xf numFmtId="2" fontId="17" fillId="0" borderId="10" xfId="34" applyNumberFormat="1" applyFont="1" applyFill="1" applyBorder="1" applyAlignment="1" applyProtection="1">
      <alignment horizontal="center" vertical="center" wrapText="1"/>
      <protection locked="0"/>
    </xf>
    <xf numFmtId="0" fontId="17" fillId="0" borderId="0" xfId="34" applyFont="1" applyFill="1" applyAlignment="1" applyProtection="1">
      <alignment horizontal="justify"/>
    </xf>
    <xf numFmtId="0" fontId="13" fillId="0" borderId="0" xfId="34" applyFont="1" applyFill="1" applyProtection="1"/>
    <xf numFmtId="0" fontId="14" fillId="0" borderId="0" xfId="34" applyFont="1" applyFill="1" applyProtection="1"/>
    <xf numFmtId="0" fontId="6" fillId="0" borderId="0" xfId="34" applyFont="1" applyFill="1" applyBorder="1" applyProtection="1"/>
    <xf numFmtId="0" fontId="17" fillId="0" borderId="0" xfId="34" applyFont="1" applyFill="1" applyBorder="1" applyAlignment="1" applyProtection="1">
      <alignment horizontal="center" vertical="center" wrapText="1"/>
    </xf>
    <xf numFmtId="0" fontId="17" fillId="0" borderId="0" xfId="34" applyFont="1" applyFill="1" applyAlignment="1" applyProtection="1">
      <alignment horizontal="center" vertical="center" wrapText="1"/>
    </xf>
    <xf numFmtId="0" fontId="17" fillId="0" borderId="0" xfId="34" applyFont="1" applyFill="1" applyBorder="1" applyAlignment="1" applyProtection="1">
      <alignment vertical="top"/>
    </xf>
    <xf numFmtId="49" fontId="17" fillId="0" borderId="10" xfId="34" applyNumberFormat="1" applyFont="1" applyFill="1" applyBorder="1"/>
    <xf numFmtId="0" fontId="19" fillId="0" borderId="10" xfId="34" applyFont="1" applyFill="1" applyBorder="1"/>
    <xf numFmtId="49" fontId="17" fillId="0" borderId="0" xfId="34" applyNumberFormat="1" applyFont="1" applyFill="1"/>
    <xf numFmtId="2" fontId="17" fillId="0" borderId="0" xfId="34" applyNumberFormat="1" applyFont="1" applyFill="1" applyBorder="1" applyProtection="1"/>
    <xf numFmtId="0" fontId="17" fillId="0" borderId="10" xfId="34" applyFont="1" applyFill="1" applyBorder="1" applyAlignment="1">
      <alignment horizontal="left"/>
    </xf>
    <xf numFmtId="49" fontId="17" fillId="0" borderId="0" xfId="34" applyNumberFormat="1" applyFont="1" applyFill="1" applyAlignment="1">
      <alignment horizontal="right"/>
    </xf>
    <xf numFmtId="0" fontId="17" fillId="0" borderId="12" xfId="34" applyFont="1" applyFill="1" applyBorder="1"/>
    <xf numFmtId="0" fontId="17" fillId="0" borderId="0" xfId="34" applyFont="1" applyFill="1" applyBorder="1" applyAlignment="1" applyProtection="1">
      <alignment horizontal="center" vertical="center" wrapText="1"/>
      <protection locked="0"/>
    </xf>
    <xf numFmtId="0" fontId="8" fillId="0" borderId="0" xfId="34" applyFont="1" applyFill="1" applyAlignment="1">
      <alignment horizontal="center" vertical="center" wrapText="1"/>
    </xf>
    <xf numFmtId="0" fontId="10" fillId="0" borderId="0" xfId="34" applyFont="1" applyFill="1" applyAlignment="1"/>
    <xf numFmtId="0" fontId="7" fillId="0" borderId="11" xfId="34" applyFont="1" applyFill="1" applyBorder="1" applyAlignment="1">
      <alignment horizontal="center" vertical="center" wrapText="1"/>
    </xf>
    <xf numFmtId="0" fontId="11" fillId="0" borderId="10" xfId="34" applyFont="1" applyFill="1" applyBorder="1" applyAlignment="1" applyProtection="1">
      <alignment horizontal="left" vertical="center"/>
    </xf>
    <xf numFmtId="0" fontId="10" fillId="0" borderId="14" xfId="34" applyFont="1" applyFill="1" applyBorder="1" applyAlignment="1" applyProtection="1">
      <alignment horizontal="center" vertical="center"/>
    </xf>
    <xf numFmtId="0" fontId="10" fillId="0" borderId="15" xfId="34" applyFont="1" applyFill="1" applyBorder="1" applyAlignment="1" applyProtection="1">
      <alignment horizontal="center" vertical="center"/>
    </xf>
    <xf numFmtId="0" fontId="10" fillId="0" borderId="16" xfId="34" applyFont="1" applyFill="1" applyBorder="1" applyAlignment="1" applyProtection="1">
      <alignment horizontal="center" vertical="center"/>
    </xf>
    <xf numFmtId="0" fontId="16" fillId="0" borderId="0" xfId="34" applyFont="1" applyFill="1" applyAlignment="1">
      <alignment horizontal="center"/>
    </xf>
    <xf numFmtId="0" fontId="9" fillId="0" borderId="0" xfId="34" applyFont="1" applyAlignment="1" applyProtection="1">
      <alignment horizontal="left" indent="5"/>
    </xf>
    <xf numFmtId="0" fontId="10" fillId="0" borderId="0" xfId="34" applyFont="1" applyAlignment="1">
      <alignment horizontal="left" indent="5"/>
    </xf>
    <xf numFmtId="0" fontId="16" fillId="0" borderId="0" xfId="34" applyFont="1" applyFill="1" applyAlignment="1">
      <alignment horizontal="right"/>
    </xf>
    <xf numFmtId="0" fontId="16" fillId="0" borderId="0" xfId="34" applyFont="1" applyFill="1" applyAlignment="1">
      <alignment horizontal="right" vertical="top"/>
    </xf>
    <xf numFmtId="0" fontId="1" fillId="0" borderId="0" xfId="34" applyFont="1" applyFill="1" applyAlignment="1" applyProtection="1">
      <alignment horizontal="center" vertical="center"/>
      <protection locked="0"/>
    </xf>
    <xf numFmtId="1" fontId="1" fillId="0" borderId="0" xfId="34" applyNumberFormat="1" applyFont="1" applyFill="1" applyAlignment="1" applyProtection="1">
      <alignment horizontal="left" vertical="center" wrapText="1"/>
      <protection locked="0"/>
    </xf>
    <xf numFmtId="0" fontId="19" fillId="0" borderId="10" xfId="34" applyFont="1" applyFill="1" applyBorder="1" applyAlignment="1">
      <alignment horizontal="center" wrapText="1"/>
    </xf>
    <xf numFmtId="0" fontId="10" fillId="0" borderId="0" xfId="34" applyFont="1" applyFill="1" applyAlignment="1">
      <alignment horizontal="left" indent="12"/>
    </xf>
    <xf numFmtId="0" fontId="16" fillId="0" borderId="0" xfId="34" applyFont="1" applyFill="1" applyAlignment="1">
      <alignment horizontal="center" vertical="top"/>
    </xf>
    <xf numFmtId="0" fontId="16" fillId="0" borderId="0" xfId="34" applyFont="1" applyFill="1" applyAlignment="1">
      <alignment horizontal="left" vertical="top"/>
    </xf>
    <xf numFmtId="0" fontId="19" fillId="0" borderId="10" xfId="34" applyFont="1" applyFill="1" applyBorder="1" applyAlignment="1"/>
    <xf numFmtId="0" fontId="19" fillId="0" borderId="0" xfId="34" applyFont="1" applyFill="1" applyBorder="1" applyAlignment="1">
      <alignment horizontal="center" vertical="center" textRotation="90" wrapText="1"/>
    </xf>
    <xf numFmtId="0" fontId="19" fillId="0" borderId="0" xfId="34" applyFont="1" applyFill="1" applyBorder="1" applyAlignment="1">
      <alignment horizontal="center" wrapText="1"/>
    </xf>
    <xf numFmtId="10" fontId="17" fillId="0" borderId="0" xfId="34" applyNumberFormat="1" applyFont="1" applyFill="1" applyBorder="1" applyAlignment="1">
      <alignment horizontal="center" vertical="center"/>
    </xf>
    <xf numFmtId="49" fontId="7" fillId="0" borderId="10" xfId="34" applyNumberFormat="1" applyFont="1" applyFill="1" applyBorder="1" applyAlignment="1">
      <alignment vertical="center" wrapText="1"/>
    </xf>
    <xf numFmtId="0" fontId="1" fillId="0" borderId="0" xfId="34" applyFont="1" applyFill="1"/>
    <xf numFmtId="1" fontId="17" fillId="0" borderId="0" xfId="34" applyNumberFormat="1" applyFont="1" applyFill="1" applyAlignment="1" applyProtection="1">
      <alignment horizontal="left" vertical="center"/>
      <protection locked="0"/>
    </xf>
    <xf numFmtId="0" fontId="10" fillId="0" borderId="0" xfId="34" applyFont="1" applyFill="1" applyAlignment="1">
      <alignment horizontal="right"/>
    </xf>
    <xf numFmtId="0" fontId="7" fillId="0" borderId="0" xfId="34" applyFont="1" applyProtection="1"/>
    <xf numFmtId="0" fontId="7" fillId="0" borderId="0" xfId="34" applyFont="1" applyAlignment="1" applyProtection="1">
      <alignment horizontal="left" indent="4"/>
    </xf>
    <xf numFmtId="0" fontId="16" fillId="0" borderId="0" xfId="34" applyFont="1" applyFill="1" applyAlignment="1">
      <alignment horizontal="left"/>
    </xf>
    <xf numFmtId="3" fontId="5" fillId="0" borderId="0" xfId="34" applyNumberFormat="1" applyFont="1" applyFill="1"/>
    <xf numFmtId="3" fontId="5" fillId="0" borderId="0" xfId="34" applyNumberFormat="1" applyFont="1" applyFill="1" applyBorder="1"/>
    <xf numFmtId="3" fontId="7" fillId="0" borderId="0" xfId="34" applyNumberFormat="1" applyFont="1" applyFill="1" applyBorder="1"/>
    <xf numFmtId="3" fontId="7" fillId="0" borderId="0" xfId="34" applyNumberFormat="1" applyFont="1" applyFill="1" applyAlignment="1">
      <alignment horizontal="center"/>
    </xf>
    <xf numFmtId="0" fontId="7" fillId="0" borderId="0" xfId="34" applyFont="1" applyBorder="1" applyAlignment="1" applyProtection="1">
      <alignment horizontal="center" vertical="center" wrapText="1"/>
      <protection locked="0"/>
    </xf>
    <xf numFmtId="0" fontId="7" fillId="0" borderId="0" xfId="34" applyFont="1" applyAlignment="1" applyProtection="1">
      <alignment horizontal="center" vertical="center" wrapText="1"/>
      <protection locked="0"/>
    </xf>
    <xf numFmtId="0" fontId="16" fillId="0" borderId="0" xfId="34" applyFont="1" applyAlignment="1" applyProtection="1">
      <alignment horizontal="center" vertical="center" wrapText="1"/>
      <protection locked="0"/>
    </xf>
    <xf numFmtId="1" fontId="7" fillId="0" borderId="0" xfId="34" applyNumberFormat="1" applyFont="1" applyBorder="1" applyAlignment="1" applyProtection="1">
      <alignment horizontal="center" vertical="center" wrapText="1"/>
      <protection locked="0"/>
    </xf>
    <xf numFmtId="0" fontId="7" fillId="0" borderId="0" xfId="34" applyFont="1" applyFill="1" applyAlignment="1" applyProtection="1">
      <alignment horizontal="center" vertical="center"/>
      <protection locked="0"/>
    </xf>
    <xf numFmtId="0" fontId="16" fillId="0" borderId="0" xfId="34" applyFont="1" applyFill="1" applyAlignment="1">
      <alignment horizontal="right" vertical="top" indent="10"/>
    </xf>
    <xf numFmtId="0" fontId="7" fillId="0" borderId="0" xfId="34" applyFont="1"/>
    <xf numFmtId="0" fontId="25" fillId="0" borderId="0" xfId="34" applyFont="1" applyFill="1" applyAlignment="1">
      <alignment horizontal="center" vertical="top"/>
    </xf>
    <xf numFmtId="0" fontId="7" fillId="0" borderId="0" xfId="34" applyFont="1" applyAlignment="1">
      <alignment vertical="top" wrapText="1"/>
    </xf>
    <xf numFmtId="0" fontId="26" fillId="0" borderId="0" xfId="34" applyFont="1" applyFill="1" applyAlignment="1">
      <alignment horizontal="left" vertical="top" indent="2"/>
    </xf>
    <xf numFmtId="0" fontId="17" fillId="0" borderId="0" xfId="34" applyFont="1" applyFill="1" applyAlignment="1"/>
    <xf numFmtId="0" fontId="7" fillId="0" borderId="0" xfId="34" applyFont="1" applyFill="1" applyAlignment="1">
      <alignment horizontal="center" vertical="center" wrapText="1"/>
    </xf>
    <xf numFmtId="0" fontId="17" fillId="0" borderId="10" xfId="34" applyFont="1" applyFill="1" applyBorder="1" applyAlignment="1">
      <alignment horizontal="center"/>
    </xf>
    <xf numFmtId="0" fontId="22" fillId="0" borderId="10" xfId="65" applyFont="1" applyFill="1" applyBorder="1" applyAlignment="1">
      <alignment horizontal="center"/>
    </xf>
    <xf numFmtId="0" fontId="17" fillId="18" borderId="10" xfId="34" applyFont="1" applyFill="1" applyBorder="1" applyAlignment="1" applyProtection="1">
      <alignment horizontal="center" vertical="center" wrapText="1"/>
    </xf>
    <xf numFmtId="0" fontId="17" fillId="0" borderId="10" xfId="34" applyFont="1" applyFill="1" applyBorder="1" applyAlignment="1" applyProtection="1">
      <alignment horizontal="left" vertical="center" wrapText="1"/>
      <protection locked="0"/>
    </xf>
    <xf numFmtId="2" fontId="17" fillId="0" borderId="10" xfId="34" applyNumberFormat="1" applyFont="1" applyBorder="1" applyAlignment="1">
      <alignment horizontal="center" vertical="center" wrapText="1"/>
    </xf>
    <xf numFmtId="2" fontId="17" fillId="0" borderId="10" xfId="34" applyNumberFormat="1" applyFont="1" applyFill="1" applyBorder="1" applyAlignment="1">
      <alignment horizontal="center"/>
    </xf>
    <xf numFmtId="2" fontId="17" fillId="0" borderId="10" xfId="34" applyNumberFormat="1" applyFont="1" applyFill="1" applyBorder="1" applyAlignment="1" applyProtection="1">
      <alignment horizontal="center" vertical="center" wrapText="1"/>
    </xf>
    <xf numFmtId="10" fontId="17" fillId="0" borderId="10" xfId="67" applyNumberFormat="1" applyFont="1" applyFill="1" applyBorder="1" applyAlignment="1" applyProtection="1">
      <alignment horizontal="center" vertical="center" wrapText="1"/>
      <protection locked="0"/>
    </xf>
    <xf numFmtId="0" fontId="17" fillId="0" borderId="10" xfId="55" applyFont="1" applyFill="1" applyBorder="1" applyAlignment="1">
      <alignment horizontal="center" vertical="center" wrapText="1"/>
    </xf>
    <xf numFmtId="2" fontId="17" fillId="0" borderId="10" xfId="34" applyNumberFormat="1" applyFont="1" applyFill="1" applyBorder="1" applyAlignment="1">
      <alignment horizontal="center" vertical="center" wrapText="1"/>
    </xf>
    <xf numFmtId="1" fontId="17" fillId="19" borderId="10" xfId="34" applyNumberFormat="1" applyFont="1" applyFill="1" applyBorder="1" applyAlignment="1" applyProtection="1">
      <alignment horizontal="center" vertical="center" wrapText="1"/>
      <protection locked="0"/>
    </xf>
    <xf numFmtId="0" fontId="27" fillId="20" borderId="10" xfId="40" applyFont="1" applyFill="1" applyBorder="1" applyAlignment="1">
      <alignment horizontal="center" vertical="center"/>
    </xf>
    <xf numFmtId="2" fontId="19" fillId="0" borderId="10" xfId="34" applyNumberFormat="1" applyFont="1" applyFill="1" applyBorder="1" applyAlignment="1">
      <alignment horizontal="center" vertical="center"/>
    </xf>
    <xf numFmtId="2" fontId="17" fillId="0" borderId="12" xfId="34" applyNumberFormat="1" applyFont="1" applyFill="1" applyBorder="1" applyProtection="1"/>
    <xf numFmtId="0" fontId="17" fillId="0" borderId="10" xfId="0" applyFont="1" applyBorder="1" applyAlignment="1">
      <alignment wrapText="1"/>
    </xf>
    <xf numFmtId="0" fontId="17" fillId="0" borderId="10" xfId="0" applyFont="1" applyFill="1" applyBorder="1" applyAlignment="1">
      <alignment wrapText="1"/>
    </xf>
    <xf numFmtId="0" fontId="17" fillId="0" borderId="10" xfId="36" applyFont="1" applyFill="1" applyBorder="1" applyAlignment="1">
      <alignment vertical="center" wrapText="1"/>
    </xf>
    <xf numFmtId="167" fontId="17" fillId="0" borderId="10" xfId="36" applyNumberFormat="1" applyFont="1" applyFill="1" applyBorder="1" applyAlignment="1">
      <alignment horizontal="center" vertical="center"/>
    </xf>
    <xf numFmtId="0" fontId="19" fillId="20" borderId="10" xfId="40" applyFont="1" applyFill="1" applyBorder="1" applyAlignment="1">
      <alignment horizontal="center"/>
    </xf>
    <xf numFmtId="0" fontId="29" fillId="0" borderId="17" xfId="36" applyFont="1" applyFill="1" applyBorder="1" applyAlignment="1">
      <alignment horizontal="left" vertical="center"/>
    </xf>
    <xf numFmtId="2" fontId="17" fillId="0" borderId="0" xfId="34" applyNumberFormat="1" applyFont="1" applyFill="1" applyProtection="1"/>
    <xf numFmtId="0" fontId="19" fillId="0" borderId="0" xfId="60" applyFont="1" applyBorder="1" applyAlignment="1" applyProtection="1">
      <alignment horizontal="left"/>
      <protection hidden="1"/>
    </xf>
    <xf numFmtId="0" fontId="17" fillId="0" borderId="0" xfId="36" applyFont="1" applyAlignment="1">
      <alignment horizontal="center" vertical="center" wrapText="1"/>
    </xf>
    <xf numFmtId="170" fontId="17" fillId="0" borderId="0" xfId="36" applyNumberFormat="1" applyFont="1" applyAlignment="1">
      <alignment horizontal="center" vertical="center" wrapText="1"/>
    </xf>
    <xf numFmtId="0" fontId="17" fillId="0" borderId="0" xfId="60" applyFont="1" applyProtection="1">
      <protection hidden="1"/>
    </xf>
    <xf numFmtId="0" fontId="17" fillId="0" borderId="0" xfId="60" applyFont="1" applyAlignment="1" applyProtection="1">
      <alignment horizontal="left"/>
      <protection hidden="1"/>
    </xf>
    <xf numFmtId="0" fontId="17" fillId="0" borderId="0" xfId="60" applyFont="1" applyBorder="1" applyAlignment="1" applyProtection="1">
      <alignment horizontal="left" indent="3"/>
      <protection hidden="1"/>
    </xf>
    <xf numFmtId="0" fontId="17" fillId="0" borderId="0" xfId="36" applyNumberFormat="1" applyFont="1" applyBorder="1" applyAlignment="1" applyProtection="1">
      <alignment horizontal="center" vertical="center"/>
    </xf>
    <xf numFmtId="0" fontId="17" fillId="0" borderId="0" xfId="36" applyFont="1" applyBorder="1" applyAlignment="1">
      <alignment horizontal="center" vertical="center" wrapText="1"/>
    </xf>
    <xf numFmtId="0" fontId="22" fillId="20" borderId="0" xfId="65" applyFont="1" applyFill="1" applyBorder="1" applyAlignment="1">
      <alignment horizontal="left" wrapText="1"/>
    </xf>
    <xf numFmtId="0" fontId="22" fillId="20" borderId="0" xfId="65" applyFont="1" applyFill="1" applyBorder="1" applyAlignment="1">
      <alignment horizontal="center"/>
    </xf>
    <xf numFmtId="2" fontId="22" fillId="20" borderId="0" xfId="0" applyNumberFormat="1" applyFont="1" applyFill="1" applyBorder="1" applyAlignment="1">
      <alignment horizontal="center"/>
    </xf>
    <xf numFmtId="166" fontId="17" fillId="20" borderId="0" xfId="36" applyNumberFormat="1" applyFont="1" applyFill="1" applyBorder="1" applyAlignment="1">
      <alignment horizontal="center" vertical="center" wrapText="1"/>
    </xf>
    <xf numFmtId="170" fontId="19" fillId="20" borderId="0" xfId="36" applyNumberFormat="1" applyFont="1" applyFill="1" applyBorder="1" applyAlignment="1">
      <alignment horizontal="center" vertical="center" wrapText="1"/>
    </xf>
    <xf numFmtId="2" fontId="22" fillId="20" borderId="0" xfId="65" applyNumberFormat="1" applyFont="1" applyFill="1" applyBorder="1" applyAlignment="1">
      <alignment horizontal="center"/>
    </xf>
    <xf numFmtId="0" fontId="31" fillId="0" borderId="0" xfId="36" applyFont="1" applyAlignment="1"/>
    <xf numFmtId="0" fontId="19" fillId="0" borderId="10" xfId="34" applyFont="1" applyFill="1" applyBorder="1" applyAlignment="1">
      <alignment horizontal="center"/>
    </xf>
    <xf numFmtId="2" fontId="19" fillId="21" borderId="10" xfId="34" applyNumberFormat="1" applyFont="1" applyFill="1" applyBorder="1" applyAlignment="1">
      <alignment horizontal="center" vertical="center"/>
    </xf>
    <xf numFmtId="0" fontId="19" fillId="21" borderId="10" xfId="40" applyFont="1" applyFill="1" applyBorder="1" applyAlignment="1">
      <alignment horizontal="center"/>
    </xf>
    <xf numFmtId="0" fontId="19" fillId="21" borderId="10" xfId="34" applyFont="1" applyFill="1" applyBorder="1" applyAlignment="1">
      <alignment horizontal="center" vertical="center"/>
    </xf>
    <xf numFmtId="0" fontId="19" fillId="22" borderId="10" xfId="40" applyFont="1" applyFill="1" applyBorder="1" applyAlignment="1">
      <alignment horizontal="left"/>
    </xf>
    <xf numFmtId="0" fontId="27" fillId="0" borderId="10" xfId="36" applyFont="1" applyFill="1" applyBorder="1" applyAlignment="1">
      <alignment horizontal="center" vertical="center"/>
    </xf>
    <xf numFmtId="0" fontId="22" fillId="0" borderId="10" xfId="65" applyFont="1" applyFill="1" applyBorder="1" applyAlignment="1">
      <alignment horizontal="center" vertical="center"/>
    </xf>
    <xf numFmtId="10" fontId="17" fillId="0" borderId="10" xfId="34" applyNumberFormat="1" applyFont="1" applyFill="1" applyBorder="1" applyAlignment="1" applyProtection="1">
      <alignment horizontal="center" vertical="center" wrapText="1"/>
      <protection locked="0"/>
    </xf>
    <xf numFmtId="0" fontId="17" fillId="20" borderId="10" xfId="36" applyFont="1" applyFill="1" applyBorder="1" applyAlignment="1" applyProtection="1">
      <alignment horizontal="center" vertical="center" wrapText="1"/>
      <protection locked="0"/>
    </xf>
    <xf numFmtId="0" fontId="17" fillId="22" borderId="10" xfId="34" applyFont="1" applyFill="1" applyBorder="1" applyAlignment="1" applyProtection="1">
      <alignment horizontal="center" vertical="center" wrapText="1"/>
      <protection locked="0"/>
    </xf>
    <xf numFmtId="0" fontId="17" fillId="22" borderId="10" xfId="34" applyFont="1" applyFill="1" applyBorder="1" applyAlignment="1">
      <alignment horizontal="center" vertical="center" wrapText="1"/>
    </xf>
    <xf numFmtId="49" fontId="17" fillId="22" borderId="10" xfId="34" applyNumberFormat="1" applyFont="1" applyFill="1" applyBorder="1" applyAlignment="1">
      <alignment horizontal="center" vertical="center"/>
    </xf>
    <xf numFmtId="0" fontId="17" fillId="22" borderId="10" xfId="34" applyFont="1" applyFill="1" applyBorder="1" applyAlignment="1">
      <alignment horizontal="center" vertical="center"/>
    </xf>
    <xf numFmtId="0" fontId="17" fillId="22" borderId="10" xfId="34" applyFont="1" applyFill="1" applyBorder="1" applyAlignment="1" applyProtection="1">
      <alignment horizontal="center" vertical="center" wrapText="1"/>
    </xf>
    <xf numFmtId="49" fontId="17" fillId="22" borderId="10" xfId="34" applyNumberFormat="1" applyFont="1" applyFill="1" applyBorder="1" applyAlignment="1">
      <alignment horizontal="center" vertical="center" wrapText="1"/>
    </xf>
    <xf numFmtId="1" fontId="17" fillId="22" borderId="10" xfId="34" applyNumberFormat="1" applyFont="1" applyFill="1" applyBorder="1" applyAlignment="1" applyProtection="1">
      <alignment horizontal="center" vertical="center" wrapText="1"/>
      <protection locked="0"/>
    </xf>
    <xf numFmtId="0" fontId="17" fillId="22" borderId="10" xfId="34" applyFont="1" applyFill="1" applyBorder="1" applyAlignment="1">
      <alignment horizontal="center" vertical="top" wrapText="1"/>
    </xf>
    <xf numFmtId="1" fontId="17" fillId="22" borderId="10" xfId="34" applyNumberFormat="1" applyFont="1" applyFill="1" applyBorder="1" applyAlignment="1" applyProtection="1">
      <alignment horizontal="center" vertical="center" wrapText="1"/>
    </xf>
    <xf numFmtId="0" fontId="17" fillId="22" borderId="10" xfId="34" applyFont="1" applyFill="1" applyBorder="1" applyAlignment="1" applyProtection="1">
      <alignment horizontal="center" vertical="center"/>
    </xf>
    <xf numFmtId="0" fontId="17" fillId="22" borderId="11" xfId="34" applyFont="1" applyFill="1" applyBorder="1" applyAlignment="1" applyProtection="1">
      <alignment horizontal="center" vertical="center" wrapText="1"/>
    </xf>
    <xf numFmtId="0" fontId="17" fillId="21" borderId="10" xfId="64" applyFont="1" applyFill="1" applyBorder="1" applyAlignment="1">
      <alignment horizontal="center"/>
    </xf>
    <xf numFmtId="0" fontId="17" fillId="21" borderId="10" xfId="34" applyFont="1" applyFill="1" applyBorder="1" applyAlignment="1">
      <alignment horizontal="center" vertical="center"/>
    </xf>
    <xf numFmtId="0" fontId="7" fillId="22" borderId="10" xfId="34" applyFont="1" applyFill="1" applyBorder="1" applyAlignment="1">
      <alignment horizontal="center"/>
    </xf>
    <xf numFmtId="0" fontId="7" fillId="22" borderId="10" xfId="34" applyFont="1" applyFill="1" applyBorder="1" applyAlignment="1">
      <alignment horizontal="center" vertical="center"/>
    </xf>
    <xf numFmtId="0" fontId="19" fillId="21" borderId="10" xfId="34" applyFont="1" applyFill="1" applyBorder="1" applyAlignment="1" applyProtection="1">
      <alignment horizontal="center" vertical="center"/>
    </xf>
    <xf numFmtId="0" fontId="19" fillId="21" borderId="10" xfId="34" applyFont="1" applyFill="1" applyBorder="1" applyAlignment="1" applyProtection="1">
      <alignment horizontal="left" vertical="center" wrapText="1"/>
    </xf>
    <xf numFmtId="0" fontId="19" fillId="21" borderId="10" xfId="34" applyFont="1" applyFill="1" applyBorder="1" applyAlignment="1" applyProtection="1">
      <alignment horizontal="center" vertical="center" wrapText="1"/>
    </xf>
    <xf numFmtId="3" fontId="19" fillId="21" borderId="10" xfId="34" applyNumberFormat="1" applyFont="1" applyFill="1" applyBorder="1" applyAlignment="1" applyProtection="1">
      <alignment horizontal="center" vertical="center" wrapText="1"/>
    </xf>
    <xf numFmtId="10" fontId="19" fillId="21" borderId="10" xfId="34" applyNumberFormat="1" applyFont="1" applyFill="1" applyBorder="1" applyAlignment="1" applyProtection="1">
      <alignment horizontal="center" vertical="center" wrapText="1"/>
    </xf>
    <xf numFmtId="0" fontId="19" fillId="21" borderId="10" xfId="34" applyFont="1" applyFill="1" applyBorder="1" applyAlignment="1" applyProtection="1">
      <alignment horizontal="left" vertical="center"/>
    </xf>
    <xf numFmtId="3" fontId="19" fillId="21" borderId="10" xfId="34" applyNumberFormat="1" applyFont="1" applyFill="1" applyBorder="1" applyAlignment="1" applyProtection="1">
      <alignment horizontal="center" vertical="center"/>
    </xf>
    <xf numFmtId="10" fontId="19" fillId="21" borderId="10" xfId="34" applyNumberFormat="1" applyFont="1" applyFill="1" applyBorder="1" applyAlignment="1" applyProtection="1">
      <alignment horizontal="center" vertical="center"/>
    </xf>
    <xf numFmtId="0" fontId="19" fillId="21" borderId="10" xfId="34" applyFont="1" applyFill="1" applyBorder="1" applyAlignment="1" applyProtection="1">
      <alignment horizontal="center" vertical="center" wrapText="1"/>
      <protection locked="0"/>
    </xf>
    <xf numFmtId="4" fontId="19" fillId="21" borderId="10" xfId="34" applyNumberFormat="1" applyFont="1" applyFill="1" applyBorder="1" applyAlignment="1" applyProtection="1">
      <alignment horizontal="center" vertical="center" wrapText="1"/>
    </xf>
    <xf numFmtId="10" fontId="17" fillId="21" borderId="10" xfId="34" applyNumberFormat="1" applyFont="1" applyFill="1" applyBorder="1" applyAlignment="1" applyProtection="1">
      <alignment horizontal="center" vertical="center" wrapText="1"/>
    </xf>
    <xf numFmtId="2" fontId="19" fillId="21" borderId="10" xfId="34" applyNumberFormat="1" applyFont="1" applyFill="1" applyBorder="1" applyAlignment="1" applyProtection="1">
      <alignment horizontal="center" vertical="center" wrapText="1"/>
      <protection locked="0"/>
    </xf>
    <xf numFmtId="0" fontId="19" fillId="21" borderId="10" xfId="34" applyFont="1" applyFill="1" applyBorder="1"/>
    <xf numFmtId="2" fontId="19" fillId="21" borderId="10" xfId="34" applyNumberFormat="1" applyFont="1" applyFill="1" applyBorder="1"/>
    <xf numFmtId="0" fontId="19" fillId="21" borderId="10" xfId="66" applyFont="1" applyFill="1" applyBorder="1" applyAlignment="1" applyProtection="1">
      <alignment wrapText="1"/>
    </xf>
    <xf numFmtId="0" fontId="17" fillId="0" borderId="10" xfId="36" applyFont="1" applyFill="1" applyBorder="1" applyAlignment="1" applyProtection="1">
      <alignment horizontal="center" vertical="center" wrapText="1"/>
    </xf>
    <xf numFmtId="4" fontId="19" fillId="21" borderId="11" xfId="36" applyNumberFormat="1" applyFont="1" applyFill="1" applyBorder="1" applyAlignment="1" applyProtection="1">
      <alignment horizontal="center" vertical="center"/>
    </xf>
    <xf numFmtId="0" fontId="17" fillId="0" borderId="10" xfId="66" applyFont="1" applyFill="1" applyBorder="1" applyAlignment="1" applyProtection="1">
      <alignment wrapText="1"/>
    </xf>
    <xf numFmtId="4" fontId="17" fillId="20" borderId="10" xfId="66" applyNumberFormat="1" applyFont="1" applyFill="1" applyBorder="1" applyAlignment="1" applyProtection="1">
      <alignment horizontal="center" vertical="center"/>
      <protection locked="0"/>
    </xf>
    <xf numFmtId="4" fontId="17" fillId="20" borderId="11" xfId="66" applyNumberFormat="1" applyFont="1" applyFill="1" applyBorder="1" applyAlignment="1" applyProtection="1">
      <alignment horizontal="center" vertical="center"/>
      <protection locked="0"/>
    </xf>
    <xf numFmtId="0" fontId="17" fillId="0" borderId="0" xfId="66" applyFont="1" applyProtection="1"/>
    <xf numFmtId="4" fontId="17" fillId="0" borderId="10" xfId="66" applyNumberFormat="1" applyFont="1" applyFill="1" applyBorder="1" applyAlignment="1" applyProtection="1">
      <alignment horizontal="center" vertical="center"/>
      <protection locked="0"/>
    </xf>
    <xf numFmtId="4" fontId="17" fillId="0" borderId="11" xfId="66" applyNumberFormat="1" applyFont="1" applyFill="1" applyBorder="1" applyAlignment="1" applyProtection="1">
      <alignment horizontal="center" vertical="center"/>
      <protection locked="0"/>
    </xf>
    <xf numFmtId="4" fontId="32" fillId="20" borderId="11" xfId="66" applyNumberFormat="1" applyFont="1" applyFill="1" applyBorder="1" applyAlignment="1" applyProtection="1">
      <alignment horizontal="center" vertical="center"/>
      <protection locked="0"/>
    </xf>
    <xf numFmtId="0" fontId="19" fillId="21" borderId="10" xfId="66" applyFont="1" applyFill="1" applyBorder="1" applyAlignment="1" applyProtection="1">
      <alignment horizontal="left" vertical="center" wrapText="1"/>
    </xf>
    <xf numFmtId="1" fontId="19" fillId="21" borderId="11" xfId="36" applyNumberFormat="1" applyFont="1" applyFill="1" applyBorder="1" applyAlignment="1" applyProtection="1">
      <alignment horizontal="center" vertical="center"/>
    </xf>
    <xf numFmtId="1" fontId="17" fillId="20" borderId="10" xfId="66" applyNumberFormat="1" applyFont="1" applyFill="1" applyBorder="1" applyAlignment="1" applyProtection="1">
      <alignment horizontal="center" vertical="center"/>
      <protection locked="0"/>
    </xf>
    <xf numFmtId="1" fontId="17" fillId="20" borderId="11" xfId="66" applyNumberFormat="1" applyFont="1" applyFill="1" applyBorder="1" applyAlignment="1" applyProtection="1">
      <alignment horizontal="center" vertical="center"/>
      <protection locked="0"/>
    </xf>
    <xf numFmtId="1" fontId="32" fillId="20" borderId="11" xfId="66" applyNumberFormat="1" applyFont="1" applyFill="1" applyBorder="1" applyAlignment="1" applyProtection="1">
      <alignment horizontal="center" vertical="center"/>
      <protection locked="0"/>
    </xf>
    <xf numFmtId="0" fontId="19" fillId="21" borderId="10" xfId="36" applyFont="1" applyFill="1" applyBorder="1" applyAlignment="1" applyProtection="1">
      <alignment wrapText="1"/>
    </xf>
    <xf numFmtId="3" fontId="17" fillId="20" borderId="13" xfId="66" applyNumberFormat="1" applyFont="1" applyFill="1" applyBorder="1" applyAlignment="1" applyProtection="1">
      <alignment horizontal="center" vertical="center"/>
      <protection locked="0"/>
    </xf>
    <xf numFmtId="3" fontId="17" fillId="20" borderId="13" xfId="66" applyNumberFormat="1" applyFont="1" applyFill="1" applyBorder="1" applyAlignment="1" applyProtection="1">
      <alignment horizontal="center" vertical="center"/>
    </xf>
    <xf numFmtId="1" fontId="17" fillId="0" borderId="11" xfId="66" applyNumberFormat="1" applyFont="1" applyFill="1" applyBorder="1" applyAlignment="1" applyProtection="1">
      <alignment horizontal="center" vertical="center"/>
      <protection locked="0"/>
    </xf>
    <xf numFmtId="1" fontId="17" fillId="0" borderId="10" xfId="66" applyNumberFormat="1" applyFont="1" applyFill="1" applyBorder="1" applyAlignment="1" applyProtection="1">
      <alignment horizontal="center" vertical="center"/>
      <protection locked="0"/>
    </xf>
    <xf numFmtId="0" fontId="19" fillId="21" borderId="10" xfId="36" applyFont="1" applyFill="1" applyBorder="1" applyAlignment="1" applyProtection="1">
      <alignment horizontal="left" vertical="center" wrapText="1"/>
    </xf>
    <xf numFmtId="0" fontId="17" fillId="0" borderId="10" xfId="36" applyFont="1" applyFill="1" applyBorder="1" applyAlignment="1" applyProtection="1">
      <alignment wrapText="1"/>
    </xf>
    <xf numFmtId="0" fontId="17" fillId="0" borderId="10" xfId="34" applyFont="1" applyFill="1" applyBorder="1" applyAlignment="1">
      <alignment wrapText="1"/>
    </xf>
    <xf numFmtId="2" fontId="17" fillId="0" borderId="10" xfId="34" applyNumberFormat="1" applyFont="1" applyFill="1" applyBorder="1" applyAlignment="1">
      <alignment horizontal="center" wrapText="1"/>
    </xf>
    <xf numFmtId="2" fontId="19" fillId="0" borderId="10" xfId="34" applyNumberFormat="1" applyFont="1" applyFill="1" applyBorder="1" applyAlignment="1">
      <alignment horizontal="center" vertical="center" wrapText="1"/>
    </xf>
    <xf numFmtId="49" fontId="17" fillId="0" borderId="10" xfId="34" applyNumberFormat="1" applyFont="1" applyFill="1" applyBorder="1" applyAlignment="1">
      <alignment horizontal="left" vertical="center"/>
    </xf>
    <xf numFmtId="49" fontId="19" fillId="0" borderId="10" xfId="34" applyNumberFormat="1" applyFont="1" applyFill="1" applyBorder="1" applyAlignment="1">
      <alignment horizontal="center" vertical="center"/>
    </xf>
    <xf numFmtId="2" fontId="19" fillId="21" borderId="10" xfId="34" applyNumberFormat="1" applyFont="1" applyFill="1" applyBorder="1" applyAlignment="1">
      <alignment horizontal="center" wrapText="1"/>
    </xf>
    <xf numFmtId="49" fontId="19" fillId="0" borderId="10" xfId="34" applyNumberFormat="1" applyFont="1" applyFill="1" applyBorder="1" applyAlignment="1" applyProtection="1">
      <alignment horizontal="center" vertical="center" wrapText="1"/>
    </xf>
    <xf numFmtId="4" fontId="19" fillId="0" borderId="10" xfId="34" applyNumberFormat="1" applyFont="1" applyFill="1" applyBorder="1" applyAlignment="1" applyProtection="1">
      <alignment horizontal="center" vertical="center" wrapText="1"/>
    </xf>
    <xf numFmtId="10" fontId="19" fillId="0" borderId="10" xfId="34" applyNumberFormat="1" applyFont="1" applyFill="1" applyBorder="1" applyAlignment="1" applyProtection="1">
      <alignment horizontal="center" vertical="center" wrapText="1"/>
    </xf>
    <xf numFmtId="2" fontId="19" fillId="0" borderId="10" xfId="34" applyNumberFormat="1" applyFont="1" applyFill="1" applyBorder="1" applyAlignment="1" applyProtection="1">
      <alignment horizontal="center" vertical="center" wrapText="1"/>
      <protection locked="0"/>
    </xf>
    <xf numFmtId="4" fontId="19" fillId="0" borderId="10" xfId="34" applyNumberFormat="1" applyFont="1" applyFill="1" applyBorder="1" applyAlignment="1" applyProtection="1">
      <alignment horizontal="center" vertical="center" wrapText="1"/>
      <protection locked="0"/>
    </xf>
    <xf numFmtId="49" fontId="5" fillId="0" borderId="10" xfId="34" applyNumberFormat="1" applyFont="1" applyFill="1" applyBorder="1" applyAlignment="1" applyProtection="1">
      <alignment horizontal="center" vertical="center" wrapText="1"/>
    </xf>
    <xf numFmtId="10" fontId="5" fillId="0" borderId="10" xfId="34" applyNumberFormat="1" applyFont="1" applyFill="1" applyBorder="1" applyAlignment="1" applyProtection="1">
      <alignment horizontal="center" vertical="center" wrapText="1"/>
    </xf>
    <xf numFmtId="4" fontId="17" fillId="0" borderId="10" xfId="36" applyNumberFormat="1" applyFont="1" applyFill="1" applyBorder="1" applyAlignment="1" applyProtection="1">
      <alignment horizontal="center" vertical="center" wrapText="1"/>
      <protection locked="0"/>
    </xf>
    <xf numFmtId="49" fontId="36" fillId="0" borderId="10" xfId="34" applyNumberFormat="1" applyFont="1" applyFill="1" applyBorder="1" applyAlignment="1" applyProtection="1">
      <alignment horizontal="center" vertical="center" wrapText="1"/>
    </xf>
    <xf numFmtId="4" fontId="36" fillId="0" borderId="10" xfId="34" applyNumberFormat="1" applyFont="1" applyFill="1" applyBorder="1" applyAlignment="1" applyProtection="1">
      <alignment horizontal="center" vertical="center" wrapText="1"/>
    </xf>
    <xf numFmtId="10" fontId="36" fillId="0" borderId="10" xfId="34" applyNumberFormat="1" applyFont="1" applyFill="1" applyBorder="1" applyAlignment="1" applyProtection="1">
      <alignment horizontal="center" vertical="center" wrapText="1"/>
    </xf>
    <xf numFmtId="4" fontId="36" fillId="0" borderId="10" xfId="34" applyNumberFormat="1" applyFont="1" applyFill="1" applyBorder="1" applyAlignment="1" applyProtection="1">
      <alignment horizontal="center" vertical="center" wrapText="1"/>
      <protection locked="0"/>
    </xf>
    <xf numFmtId="10" fontId="36" fillId="0" borderId="10" xfId="34" applyNumberFormat="1" applyFont="1" applyFill="1" applyBorder="1" applyAlignment="1" applyProtection="1">
      <alignment horizontal="left" vertical="center" wrapText="1"/>
    </xf>
    <xf numFmtId="4" fontId="17" fillId="0" borderId="10" xfId="36" applyNumberFormat="1" applyFont="1" applyFill="1" applyBorder="1" applyAlignment="1" applyProtection="1">
      <alignment horizontal="center" vertical="center" wrapText="1"/>
    </xf>
    <xf numFmtId="10" fontId="17" fillId="0" borderId="10" xfId="36" applyNumberFormat="1" applyFont="1" applyFill="1" applyBorder="1" applyAlignment="1" applyProtection="1">
      <alignment horizontal="center" vertical="center" wrapText="1"/>
    </xf>
    <xf numFmtId="4" fontId="21" fillId="0" borderId="10" xfId="34" applyNumberFormat="1" applyFont="1" applyFill="1" applyBorder="1" applyAlignment="1" applyProtection="1">
      <alignment horizontal="center" vertical="center" wrapText="1"/>
    </xf>
    <xf numFmtId="10" fontId="21" fillId="0" borderId="10" xfId="34" applyNumberFormat="1" applyFont="1" applyFill="1" applyBorder="1" applyAlignment="1" applyProtection="1">
      <alignment horizontal="center" vertical="center" wrapText="1"/>
    </xf>
    <xf numFmtId="4" fontId="21" fillId="0" borderId="10" xfId="34" applyNumberFormat="1" applyFont="1" applyFill="1" applyBorder="1" applyAlignment="1" applyProtection="1">
      <alignment horizontal="center" vertical="center" wrapText="1"/>
      <protection locked="0"/>
    </xf>
    <xf numFmtId="4" fontId="27" fillId="0" borderId="10" xfId="34" applyNumberFormat="1" applyFont="1" applyFill="1" applyBorder="1" applyAlignment="1" applyProtection="1">
      <alignment horizontal="center" vertical="center" wrapText="1"/>
    </xf>
    <xf numFmtId="4" fontId="22" fillId="0" borderId="10" xfId="34" applyNumberFormat="1" applyFont="1" applyFill="1" applyBorder="1" applyAlignment="1" applyProtection="1">
      <alignment horizontal="center" vertical="center" wrapText="1"/>
    </xf>
    <xf numFmtId="4" fontId="22" fillId="0" borderId="10" xfId="36" applyNumberFormat="1" applyFont="1" applyFill="1" applyBorder="1" applyAlignment="1" applyProtection="1">
      <alignment horizontal="center" vertical="center" wrapText="1"/>
    </xf>
    <xf numFmtId="10" fontId="27" fillId="0" borderId="10" xfId="34" applyNumberFormat="1" applyFont="1" applyFill="1" applyBorder="1" applyAlignment="1" applyProtection="1">
      <alignment horizontal="center" vertical="center" wrapText="1"/>
    </xf>
    <xf numFmtId="49" fontId="27" fillId="0" borderId="10" xfId="34" applyNumberFormat="1" applyFont="1" applyFill="1" applyBorder="1" applyAlignment="1" applyProtection="1">
      <alignment horizontal="center" vertical="center" wrapText="1"/>
    </xf>
    <xf numFmtId="49" fontId="7" fillId="0" borderId="10" xfId="34" applyNumberFormat="1" applyFont="1" applyFill="1" applyBorder="1" applyAlignment="1" applyProtection="1">
      <alignment horizontal="center" vertical="center" wrapText="1"/>
    </xf>
    <xf numFmtId="49" fontId="7" fillId="0" borderId="10" xfId="36" applyNumberFormat="1" applyFont="1" applyFill="1" applyBorder="1" applyAlignment="1" applyProtection="1">
      <alignment horizontal="center" vertical="center" wrapText="1"/>
    </xf>
    <xf numFmtId="49" fontId="27" fillId="0" borderId="10" xfId="36" applyNumberFormat="1" applyFont="1" applyFill="1" applyBorder="1" applyAlignment="1" applyProtection="1">
      <alignment horizontal="center" vertical="center" wrapText="1"/>
    </xf>
    <xf numFmtId="0" fontId="19" fillId="0" borderId="10" xfId="34" applyFont="1" applyFill="1" applyBorder="1" applyAlignment="1" applyProtection="1">
      <alignment horizontal="center" vertical="center" wrapText="1"/>
    </xf>
    <xf numFmtId="4" fontId="27" fillId="0" borderId="10" xfId="34" applyNumberFormat="1" applyFont="1" applyFill="1" applyBorder="1" applyAlignment="1" applyProtection="1">
      <alignment horizontal="center" vertical="center" wrapText="1"/>
      <protection locked="0"/>
    </xf>
    <xf numFmtId="1" fontId="19" fillId="0" borderId="10" xfId="34" applyNumberFormat="1" applyFont="1" applyFill="1" applyBorder="1" applyAlignment="1" applyProtection="1">
      <alignment horizontal="center" vertical="center" wrapText="1"/>
      <protection locked="0"/>
    </xf>
    <xf numFmtId="1" fontId="5" fillId="0" borderId="10" xfId="34" applyNumberFormat="1" applyFont="1" applyFill="1" applyBorder="1" applyAlignment="1" applyProtection="1">
      <alignment horizontal="center" vertical="center" wrapText="1"/>
      <protection locked="0"/>
    </xf>
    <xf numFmtId="1" fontId="36" fillId="0" borderId="10" xfId="34" applyNumberFormat="1" applyFont="1" applyFill="1" applyBorder="1" applyAlignment="1" applyProtection="1">
      <alignment horizontal="left" vertical="center" wrapText="1"/>
      <protection locked="0"/>
    </xf>
    <xf numFmtId="1" fontId="17" fillId="0" borderId="10" xfId="36" applyNumberFormat="1" applyFont="1" applyFill="1" applyBorder="1" applyAlignment="1" applyProtection="1">
      <alignment horizontal="center" vertical="center" wrapText="1"/>
      <protection locked="0"/>
    </xf>
    <xf numFmtId="1" fontId="36" fillId="0" borderId="10" xfId="34" applyNumberFormat="1" applyFont="1" applyFill="1" applyBorder="1" applyAlignment="1" applyProtection="1">
      <alignment horizontal="center" vertical="center" wrapText="1"/>
      <protection locked="0"/>
    </xf>
    <xf numFmtId="0" fontId="21" fillId="0" borderId="10" xfId="34" applyFont="1" applyFill="1" applyBorder="1" applyAlignment="1" applyProtection="1">
      <alignment horizontal="left" vertical="center" wrapText="1"/>
    </xf>
    <xf numFmtId="0" fontId="22" fillId="0" borderId="10" xfId="36" applyFont="1" applyFill="1" applyBorder="1" applyAlignment="1" applyProtection="1">
      <alignment horizontal="left" vertical="center" wrapText="1"/>
    </xf>
    <xf numFmtId="10" fontId="22" fillId="0" borderId="10" xfId="36" applyNumberFormat="1" applyFont="1" applyFill="1" applyBorder="1" applyAlignment="1" applyProtection="1">
      <alignment horizontal="center" vertical="center" wrapText="1"/>
    </xf>
    <xf numFmtId="49" fontId="5" fillId="0" borderId="10" xfId="34" applyNumberFormat="1" applyFont="1" applyFill="1" applyBorder="1" applyAlignment="1" applyProtection="1">
      <alignment horizontal="center"/>
    </xf>
    <xf numFmtId="4" fontId="7" fillId="0" borderId="10" xfId="34" applyNumberFormat="1" applyFont="1" applyFill="1" applyBorder="1" applyAlignment="1" applyProtection="1">
      <alignment horizontal="center" vertical="center" wrapText="1"/>
      <protection locked="0"/>
    </xf>
    <xf numFmtId="10" fontId="7" fillId="0" borderId="10" xfId="36" applyNumberFormat="1" applyFont="1" applyFill="1" applyBorder="1" applyAlignment="1" applyProtection="1">
      <alignment horizontal="center" vertical="center" wrapText="1"/>
    </xf>
    <xf numFmtId="10" fontId="27" fillId="0" borderId="10" xfId="36" applyNumberFormat="1" applyFont="1" applyFill="1" applyBorder="1" applyAlignment="1" applyProtection="1">
      <alignment horizontal="center" vertical="center" wrapText="1"/>
    </xf>
    <xf numFmtId="0" fontId="17" fillId="0" borderId="10" xfId="36" applyFont="1" applyFill="1" applyBorder="1"/>
    <xf numFmtId="0" fontId="0" fillId="0" borderId="10" xfId="0" applyBorder="1" applyAlignment="1">
      <alignment horizontal="center"/>
    </xf>
    <xf numFmtId="0" fontId="17" fillId="0" borderId="0" xfId="36" applyFont="1" applyFill="1"/>
    <xf numFmtId="0" fontId="17" fillId="0" borderId="10" xfId="36" applyFont="1" applyFill="1" applyBorder="1" applyAlignment="1">
      <alignment horizontal="center"/>
    </xf>
    <xf numFmtId="49" fontId="21" fillId="0" borderId="10" xfId="34" applyNumberFormat="1" applyFont="1" applyFill="1" applyBorder="1" applyAlignment="1" applyProtection="1">
      <alignment horizontal="center" vertical="center" wrapText="1"/>
    </xf>
    <xf numFmtId="0" fontId="21" fillId="0" borderId="10" xfId="34" applyFont="1" applyFill="1" applyBorder="1" applyAlignment="1" applyProtection="1">
      <alignment horizontal="center" vertical="center" wrapText="1"/>
    </xf>
    <xf numFmtId="49" fontId="17" fillId="0" borderId="10" xfId="36" applyNumberFormat="1" applyFont="1" applyFill="1" applyBorder="1" applyAlignment="1" applyProtection="1">
      <alignment horizontal="center" vertical="center" wrapText="1"/>
    </xf>
    <xf numFmtId="0" fontId="0" fillId="0" borderId="10" xfId="0" applyBorder="1"/>
    <xf numFmtId="49" fontId="17" fillId="0" borderId="18" xfId="36" applyNumberFormat="1" applyFont="1" applyFill="1" applyBorder="1" applyAlignment="1" applyProtection="1">
      <alignment horizontal="center" vertical="center" wrapText="1"/>
    </xf>
    <xf numFmtId="0" fontId="17" fillId="0" borderId="10" xfId="36" applyFont="1" applyFill="1" applyBorder="1" applyAlignment="1" applyProtection="1">
      <alignment horizontal="left" vertical="center" wrapText="1"/>
    </xf>
    <xf numFmtId="0" fontId="27" fillId="0" borderId="10" xfId="34" applyFont="1" applyFill="1" applyBorder="1" applyAlignment="1" applyProtection="1">
      <alignment horizontal="left" vertical="center" wrapText="1"/>
    </xf>
    <xf numFmtId="10" fontId="22" fillId="0" borderId="10" xfId="34" applyNumberFormat="1" applyFont="1" applyFill="1" applyBorder="1" applyAlignment="1" applyProtection="1">
      <alignment horizontal="center" vertical="center" wrapText="1"/>
    </xf>
    <xf numFmtId="0" fontId="17" fillId="0" borderId="10" xfId="36" applyFont="1" applyFill="1" applyBorder="1" applyAlignment="1">
      <alignment horizontal="center" vertical="center"/>
    </xf>
    <xf numFmtId="9" fontId="17" fillId="0" borderId="10" xfId="67" applyFont="1" applyFill="1" applyBorder="1" applyAlignment="1" applyProtection="1">
      <alignment horizontal="center" vertical="center" wrapText="1"/>
      <protection locked="0"/>
    </xf>
    <xf numFmtId="9" fontId="19" fillId="0" borderId="10" xfId="67" applyFont="1" applyFill="1" applyBorder="1" applyAlignment="1" applyProtection="1">
      <alignment horizontal="center" vertical="center" wrapText="1"/>
      <protection locked="0"/>
    </xf>
    <xf numFmtId="9" fontId="17" fillId="0" borderId="10" xfId="67" applyFont="1" applyFill="1" applyBorder="1" applyAlignment="1" applyProtection="1">
      <alignment horizontal="center" vertical="center" wrapText="1"/>
    </xf>
    <xf numFmtId="49" fontId="19" fillId="18" borderId="10" xfId="36" applyNumberFormat="1" applyFont="1" applyFill="1" applyBorder="1" applyAlignment="1" applyProtection="1">
      <alignment horizontal="center" vertical="center" wrapText="1"/>
    </xf>
    <xf numFmtId="49" fontId="17" fillId="18" borderId="10" xfId="36" applyNumberFormat="1" applyFont="1" applyFill="1" applyBorder="1" applyAlignment="1" applyProtection="1">
      <alignment horizontal="right" vertical="center" wrapText="1"/>
    </xf>
    <xf numFmtId="0" fontId="19" fillId="18" borderId="10" xfId="36" applyFont="1" applyFill="1" applyBorder="1" applyAlignment="1" applyProtection="1">
      <alignment wrapText="1"/>
    </xf>
    <xf numFmtId="2" fontId="19" fillId="18" borderId="10" xfId="36" applyNumberFormat="1" applyFont="1" applyFill="1" applyBorder="1" applyAlignment="1" applyProtection="1">
      <alignment horizontal="center" wrapText="1"/>
    </xf>
    <xf numFmtId="4" fontId="19" fillId="18" borderId="10" xfId="36" applyNumberFormat="1" applyFont="1" applyFill="1" applyBorder="1" applyAlignment="1" applyProtection="1">
      <alignment horizontal="center" vertical="center"/>
    </xf>
    <xf numFmtId="4" fontId="17" fillId="18" borderId="10" xfId="36" applyNumberFormat="1" applyFont="1" applyFill="1" applyBorder="1" applyAlignment="1" applyProtection="1">
      <alignment horizontal="center" vertical="center"/>
    </xf>
    <xf numFmtId="0" fontId="17" fillId="18" borderId="10" xfId="36" applyFont="1" applyFill="1" applyBorder="1" applyProtection="1"/>
    <xf numFmtId="49" fontId="19" fillId="0" borderId="10" xfId="36" applyNumberFormat="1" applyFont="1" applyFill="1" applyBorder="1" applyAlignment="1" applyProtection="1">
      <alignment horizontal="center" vertical="center" wrapText="1"/>
    </xf>
    <xf numFmtId="49" fontId="17" fillId="0" borderId="10" xfId="36" applyNumberFormat="1" applyFont="1" applyFill="1" applyBorder="1" applyAlignment="1" applyProtection="1">
      <alignment horizontal="right" vertical="center" wrapText="1"/>
    </xf>
    <xf numFmtId="0" fontId="19" fillId="0" borderId="10" xfId="36" applyFont="1" applyFill="1" applyBorder="1" applyAlignment="1" applyProtection="1">
      <alignment wrapText="1"/>
    </xf>
    <xf numFmtId="2" fontId="19" fillId="0" borderId="10" xfId="36" applyNumberFormat="1" applyFont="1" applyFill="1" applyBorder="1" applyAlignment="1" applyProtection="1">
      <alignment horizontal="center" wrapText="1"/>
    </xf>
    <xf numFmtId="4" fontId="19" fillId="0" borderId="10" xfId="36" applyNumberFormat="1" applyFont="1" applyFill="1" applyBorder="1" applyAlignment="1" applyProtection="1">
      <alignment horizontal="center" vertical="center"/>
    </xf>
    <xf numFmtId="4" fontId="17" fillId="0" borderId="10" xfId="36" applyNumberFormat="1" applyFont="1" applyFill="1" applyBorder="1" applyAlignment="1" applyProtection="1">
      <alignment horizontal="center" vertical="center"/>
    </xf>
    <xf numFmtId="0" fontId="17" fillId="0" borderId="10" xfId="36" applyFont="1" applyFill="1" applyBorder="1" applyProtection="1"/>
    <xf numFmtId="49" fontId="32" fillId="0" borderId="19" xfId="36" applyNumberFormat="1" applyFont="1" applyFill="1" applyBorder="1" applyAlignment="1" applyProtection="1">
      <alignment horizontal="center" vertical="center" wrapText="1"/>
    </xf>
    <xf numFmtId="49" fontId="22" fillId="0" borderId="11" xfId="36" applyNumberFormat="1" applyFont="1" applyFill="1" applyBorder="1" applyAlignment="1" applyProtection="1">
      <alignment horizontal="left" vertical="center" wrapText="1"/>
      <protection locked="0"/>
    </xf>
    <xf numFmtId="4" fontId="22" fillId="0" borderId="10" xfId="36" applyNumberFormat="1" applyFont="1" applyFill="1" applyBorder="1" applyAlignment="1" applyProtection="1">
      <alignment horizontal="center" vertical="center"/>
      <protection locked="0"/>
    </xf>
    <xf numFmtId="4" fontId="17" fillId="0" borderId="10" xfId="36" applyNumberFormat="1" applyFont="1" applyFill="1" applyBorder="1" applyAlignment="1" applyProtection="1">
      <alignment horizontal="center" vertical="center"/>
      <protection locked="0"/>
    </xf>
    <xf numFmtId="4" fontId="19" fillId="0" borderId="10" xfId="36" applyNumberFormat="1" applyFont="1" applyFill="1" applyBorder="1" applyAlignment="1" applyProtection="1">
      <alignment horizontal="center" vertical="center"/>
      <protection locked="0"/>
    </xf>
    <xf numFmtId="49" fontId="17" fillId="0" borderId="19" xfId="36" applyNumberFormat="1" applyFont="1" applyFill="1" applyBorder="1" applyAlignment="1" applyProtection="1">
      <alignment horizontal="center" vertical="center" wrapText="1"/>
    </xf>
    <xf numFmtId="169" fontId="17" fillId="20" borderId="10" xfId="36" applyNumberFormat="1" applyFont="1" applyFill="1" applyBorder="1" applyAlignment="1" applyProtection="1">
      <alignment horizontal="center" vertical="center" wrapText="1"/>
    </xf>
    <xf numFmtId="2" fontId="19" fillId="0" borderId="10" xfId="36" applyNumberFormat="1" applyFont="1" applyFill="1" applyBorder="1" applyAlignment="1" applyProtection="1">
      <alignment horizontal="center" vertical="center"/>
      <protection locked="0"/>
    </xf>
    <xf numFmtId="0" fontId="19" fillId="0" borderId="10" xfId="36" applyFont="1" applyFill="1" applyBorder="1" applyProtection="1"/>
    <xf numFmtId="0" fontId="17" fillId="0" borderId="10" xfId="36" applyFont="1" applyFill="1" applyBorder="1" applyAlignment="1" applyProtection="1">
      <alignment horizontal="center"/>
    </xf>
    <xf numFmtId="4" fontId="19" fillId="20" borderId="10" xfId="36" applyNumberFormat="1" applyFont="1" applyFill="1" applyBorder="1" applyAlignment="1" applyProtection="1">
      <alignment horizontal="center" vertical="center"/>
      <protection locked="0"/>
    </xf>
    <xf numFmtId="2" fontId="17" fillId="0" borderId="10" xfId="36" applyNumberFormat="1" applyFont="1" applyFill="1" applyBorder="1" applyAlignment="1" applyProtection="1">
      <alignment horizontal="center" wrapText="1"/>
    </xf>
    <xf numFmtId="169" fontId="17" fillId="20" borderId="13" xfId="36" applyNumberFormat="1" applyFont="1" applyFill="1" applyBorder="1" applyAlignment="1" applyProtection="1">
      <alignment horizontal="center" vertical="center" wrapText="1"/>
    </xf>
    <xf numFmtId="2" fontId="19" fillId="0" borderId="10" xfId="36" applyNumberFormat="1" applyFont="1" applyFill="1" applyBorder="1" applyAlignment="1" applyProtection="1">
      <alignment horizontal="center" vertical="center"/>
    </xf>
    <xf numFmtId="0" fontId="19" fillId="18" borderId="10" xfId="36" applyFont="1" applyFill="1" applyBorder="1" applyAlignment="1" applyProtection="1">
      <alignment horizontal="center" vertical="center" wrapText="1"/>
    </xf>
    <xf numFmtId="0" fontId="17" fillId="18" borderId="10" xfId="36" applyFont="1" applyFill="1" applyBorder="1" applyAlignment="1" applyProtection="1">
      <alignment horizontal="right" vertical="center" wrapText="1"/>
    </xf>
    <xf numFmtId="0" fontId="17" fillId="18" borderId="10" xfId="36" applyFont="1" applyFill="1" applyBorder="1" applyAlignment="1" applyProtection="1">
      <alignment horizontal="center" vertical="center" wrapText="1"/>
    </xf>
    <xf numFmtId="2" fontId="19" fillId="18" borderId="10" xfId="36" applyNumberFormat="1" applyFont="1" applyFill="1" applyBorder="1" applyAlignment="1" applyProtection="1">
      <alignment horizontal="center" vertical="center" wrapText="1"/>
    </xf>
    <xf numFmtId="2" fontId="19" fillId="18" borderId="10" xfId="36" applyNumberFormat="1" applyFont="1" applyFill="1" applyBorder="1" applyAlignment="1" applyProtection="1">
      <alignment horizontal="center" vertical="center"/>
    </xf>
    <xf numFmtId="2" fontId="19" fillId="0" borderId="10" xfId="36" applyNumberFormat="1" applyFont="1" applyFill="1" applyBorder="1" applyAlignment="1" applyProtection="1">
      <alignment horizontal="center" vertical="center" wrapText="1"/>
    </xf>
    <xf numFmtId="2" fontId="19" fillId="0" borderId="17" xfId="36" applyNumberFormat="1" applyFont="1" applyFill="1" applyBorder="1" applyAlignment="1" applyProtection="1">
      <alignment horizontal="center" vertical="center"/>
    </xf>
    <xf numFmtId="4" fontId="17" fillId="0" borderId="11" xfId="36" applyNumberFormat="1" applyFont="1" applyFill="1" applyBorder="1" applyAlignment="1" applyProtection="1">
      <alignment horizontal="center" vertical="center"/>
    </xf>
    <xf numFmtId="49" fontId="19" fillId="0" borderId="10" xfId="36" applyNumberFormat="1" applyFont="1" applyFill="1" applyBorder="1" applyAlignment="1" applyProtection="1">
      <alignment horizontal="center" vertical="center" wrapText="1" readingOrder="1"/>
    </xf>
    <xf numFmtId="49" fontId="17" fillId="0" borderId="10" xfId="36" applyNumberFormat="1" applyFont="1" applyFill="1" applyBorder="1" applyAlignment="1" applyProtection="1">
      <alignment horizontal="center" vertical="center" wrapText="1" readingOrder="1"/>
    </xf>
    <xf numFmtId="49" fontId="17" fillId="0" borderId="11" xfId="36" applyNumberFormat="1" applyFont="1" applyFill="1" applyBorder="1" applyAlignment="1" applyProtection="1">
      <alignment horizontal="center" vertical="center" wrapText="1" readingOrder="1"/>
    </xf>
    <xf numFmtId="49" fontId="22" fillId="0" borderId="11" xfId="36" applyNumberFormat="1" applyFont="1" applyFill="1" applyBorder="1" applyAlignment="1" applyProtection="1">
      <alignment horizontal="center" vertical="center" wrapText="1" readingOrder="1"/>
      <protection locked="0"/>
    </xf>
    <xf numFmtId="49" fontId="22" fillId="0" borderId="10" xfId="36" applyNumberFormat="1" applyFont="1" applyFill="1" applyBorder="1" applyAlignment="1" applyProtection="1">
      <alignment horizontal="center" vertical="center" wrapText="1" readingOrder="1"/>
      <protection locked="0"/>
    </xf>
    <xf numFmtId="49" fontId="17" fillId="0" borderId="10" xfId="36" applyNumberFormat="1" applyFont="1" applyFill="1" applyBorder="1" applyAlignment="1" applyProtection="1">
      <alignment horizontal="center" vertical="center" wrapText="1" readingOrder="1"/>
      <protection locked="0"/>
    </xf>
    <xf numFmtId="49" fontId="17" fillId="0" borderId="19" xfId="36" applyNumberFormat="1" applyFont="1" applyFill="1" applyBorder="1" applyAlignment="1" applyProtection="1">
      <alignment horizontal="center" vertical="center" wrapText="1" readingOrder="1"/>
    </xf>
    <xf numFmtId="49" fontId="19" fillId="0" borderId="10" xfId="36" applyNumberFormat="1" applyFont="1" applyFill="1" applyBorder="1" applyAlignment="1" applyProtection="1">
      <alignment horizontal="left" vertical="center" wrapText="1" readingOrder="1"/>
    </xf>
    <xf numFmtId="2" fontId="19" fillId="0" borderId="10" xfId="36" applyNumberFormat="1" applyFont="1" applyFill="1" applyBorder="1" applyAlignment="1" applyProtection="1">
      <alignment horizontal="center" vertical="center" wrapText="1" readingOrder="1"/>
    </xf>
    <xf numFmtId="0" fontId="19" fillId="18" borderId="10" xfId="36" applyFont="1" applyFill="1" applyBorder="1" applyAlignment="1" applyProtection="1">
      <alignment horizontal="left" vertical="center" wrapText="1"/>
    </xf>
    <xf numFmtId="3" fontId="17" fillId="18" borderId="10" xfId="36" applyNumberFormat="1" applyFont="1" applyFill="1" applyBorder="1" applyAlignment="1" applyProtection="1">
      <alignment horizontal="center" vertical="center"/>
    </xf>
    <xf numFmtId="3" fontId="17" fillId="0" borderId="10" xfId="36" applyNumberFormat="1" applyFont="1" applyFill="1" applyBorder="1" applyAlignment="1" applyProtection="1">
      <alignment horizontal="center" vertical="center"/>
    </xf>
    <xf numFmtId="3" fontId="19" fillId="0" borderId="10" xfId="36" applyNumberFormat="1" applyFont="1" applyFill="1" applyBorder="1" applyAlignment="1" applyProtection="1">
      <alignment horizontal="center" vertical="center"/>
    </xf>
    <xf numFmtId="2" fontId="19" fillId="20" borderId="10" xfId="36" applyNumberFormat="1" applyFont="1" applyFill="1" applyBorder="1" applyAlignment="1" applyProtection="1">
      <alignment horizontal="center" vertical="center"/>
      <protection locked="0"/>
    </xf>
    <xf numFmtId="4" fontId="19" fillId="0" borderId="10" xfId="36" applyNumberFormat="1" applyFont="1" applyFill="1" applyBorder="1" applyAlignment="1" applyProtection="1">
      <alignment horizontal="center" vertical="center" wrapText="1"/>
    </xf>
    <xf numFmtId="10" fontId="19" fillId="0" borderId="10" xfId="36" applyNumberFormat="1" applyFont="1" applyFill="1" applyBorder="1" applyAlignment="1" applyProtection="1">
      <alignment horizontal="center" vertical="center" wrapText="1"/>
    </xf>
    <xf numFmtId="10" fontId="19" fillId="0" borderId="10" xfId="36" applyNumberFormat="1" applyFont="1" applyFill="1" applyBorder="1" applyAlignment="1" applyProtection="1">
      <alignment horizontal="center" vertical="center" wrapText="1"/>
      <protection locked="0"/>
    </xf>
    <xf numFmtId="2" fontId="17" fillId="20" borderId="10" xfId="36" applyNumberFormat="1" applyFont="1" applyFill="1" applyBorder="1" applyAlignment="1" applyProtection="1">
      <alignment horizontal="center" vertical="center" wrapText="1"/>
      <protection locked="0"/>
    </xf>
    <xf numFmtId="49" fontId="17" fillId="0" borderId="10" xfId="36" applyNumberFormat="1" applyFont="1" applyFill="1" applyBorder="1" applyAlignment="1" applyProtection="1">
      <alignment horizontal="left" vertical="center" wrapText="1" indent="2"/>
    </xf>
    <xf numFmtId="173" fontId="17" fillId="0" borderId="10" xfId="36" applyNumberFormat="1" applyFont="1" applyFill="1" applyBorder="1" applyAlignment="1" applyProtection="1">
      <alignment horizontal="center" vertical="center" wrapText="1"/>
      <protection locked="0"/>
    </xf>
    <xf numFmtId="10" fontId="17" fillId="0" borderId="10" xfId="36" applyNumberFormat="1" applyFont="1" applyFill="1" applyBorder="1" applyAlignment="1" applyProtection="1">
      <alignment horizontal="center" vertical="center" wrapText="1"/>
      <protection locked="0"/>
    </xf>
    <xf numFmtId="4" fontId="17" fillId="20" borderId="10" xfId="36" applyNumberFormat="1" applyFont="1" applyFill="1" applyBorder="1" applyAlignment="1" applyProtection="1">
      <alignment horizontal="center" vertical="center" wrapText="1"/>
    </xf>
    <xf numFmtId="2" fontId="17" fillId="0" borderId="10" xfId="36" applyNumberFormat="1" applyFont="1" applyFill="1" applyBorder="1" applyAlignment="1" applyProtection="1">
      <alignment horizontal="center" vertical="center" wrapText="1"/>
      <protection locked="0"/>
    </xf>
    <xf numFmtId="173" fontId="17" fillId="20" borderId="10" xfId="36" applyNumberFormat="1" applyFont="1" applyFill="1" applyBorder="1" applyAlignment="1" applyProtection="1">
      <alignment horizontal="center" vertical="center" wrapText="1"/>
      <protection locked="0"/>
    </xf>
    <xf numFmtId="0" fontId="17" fillId="0" borderId="10" xfId="36" applyFont="1" applyFill="1" applyBorder="1" applyAlignment="1" applyProtection="1">
      <alignment horizontal="center" vertical="center" wrapText="1"/>
      <protection locked="0"/>
    </xf>
    <xf numFmtId="4" fontId="17" fillId="20" borderId="10" xfId="36" applyNumberFormat="1" applyFont="1" applyFill="1" applyBorder="1" applyAlignment="1" applyProtection="1">
      <alignment horizontal="center" vertical="center" wrapText="1"/>
      <protection locked="0"/>
    </xf>
    <xf numFmtId="4" fontId="19" fillId="0" borderId="10" xfId="36" applyNumberFormat="1" applyFont="1" applyFill="1" applyBorder="1" applyAlignment="1" applyProtection="1">
      <alignment horizontal="center" vertical="center" wrapText="1"/>
      <protection locked="0"/>
    </xf>
    <xf numFmtId="4" fontId="17" fillId="0" borderId="0" xfId="34" applyNumberFormat="1" applyFont="1" applyFill="1" applyProtection="1"/>
    <xf numFmtId="1" fontId="30" fillId="20" borderId="10" xfId="63" applyNumberFormat="1" applyFont="1" applyFill="1" applyBorder="1" applyAlignment="1" applyProtection="1">
      <alignment horizontal="center" vertical="center" wrapText="1"/>
      <protection locked="0"/>
    </xf>
    <xf numFmtId="4" fontId="17" fillId="0" borderId="10" xfId="63" applyNumberFormat="1" applyFont="1" applyFill="1" applyBorder="1" applyAlignment="1" applyProtection="1">
      <alignment horizontal="center" vertical="center" wrapText="1"/>
      <protection locked="0"/>
    </xf>
    <xf numFmtId="4" fontId="17" fillId="0" borderId="10" xfId="63" applyNumberFormat="1" applyFont="1" applyFill="1" applyBorder="1" applyAlignment="1" applyProtection="1">
      <alignment horizontal="center" vertical="center" wrapText="1"/>
    </xf>
    <xf numFmtId="4" fontId="17" fillId="0" borderId="10" xfId="57" applyNumberFormat="1" applyFont="1" applyFill="1" applyBorder="1" applyAlignment="1" applyProtection="1">
      <alignment horizontal="center" vertical="center" wrapText="1"/>
    </xf>
    <xf numFmtId="4" fontId="17" fillId="0" borderId="10" xfId="57" applyNumberFormat="1" applyFont="1" applyFill="1" applyBorder="1" applyAlignment="1" applyProtection="1">
      <alignment horizontal="center" vertical="center" wrapText="1"/>
      <protection locked="0"/>
    </xf>
    <xf numFmtId="3" fontId="17" fillId="0" borderId="10" xfId="58" applyNumberFormat="1" applyFont="1" applyFill="1" applyBorder="1" applyAlignment="1" applyProtection="1">
      <alignment horizontal="center" vertical="center" wrapText="1"/>
      <protection locked="0"/>
    </xf>
    <xf numFmtId="4" fontId="17" fillId="0" borderId="10" xfId="58" applyNumberFormat="1" applyFont="1" applyFill="1" applyBorder="1" applyAlignment="1" applyProtection="1">
      <alignment horizontal="center" vertical="center" wrapText="1"/>
      <protection locked="0"/>
    </xf>
    <xf numFmtId="2" fontId="17" fillId="20" borderId="10" xfId="63" applyNumberFormat="1" applyFont="1" applyFill="1" applyBorder="1" applyAlignment="1" applyProtection="1">
      <alignment horizontal="center" vertical="center" wrapText="1"/>
      <protection locked="0"/>
    </xf>
    <xf numFmtId="3" fontId="17" fillId="0" borderId="10" xfId="63" applyNumberFormat="1" applyFont="1" applyFill="1" applyBorder="1" applyAlignment="1" applyProtection="1">
      <alignment horizontal="center" vertical="center" wrapText="1"/>
    </xf>
    <xf numFmtId="3" fontId="17" fillId="0" borderId="10" xfId="63" applyNumberFormat="1" applyFont="1" applyFill="1" applyBorder="1" applyAlignment="1" applyProtection="1">
      <alignment horizontal="center" vertical="center" wrapText="1"/>
      <protection locked="0"/>
    </xf>
    <xf numFmtId="3" fontId="17" fillId="0" borderId="10" xfId="57" applyNumberFormat="1" applyFont="1" applyFill="1" applyBorder="1" applyAlignment="1" applyProtection="1">
      <alignment horizontal="center" vertical="center" wrapText="1"/>
      <protection locked="0"/>
    </xf>
    <xf numFmtId="0" fontId="17" fillId="20" borderId="19" xfId="56" applyFont="1" applyFill="1" applyBorder="1" applyAlignment="1" applyProtection="1">
      <alignment horizontal="center" vertical="center" wrapText="1"/>
    </xf>
    <xf numFmtId="0" fontId="17" fillId="20" borderId="10" xfId="56" applyFont="1" applyFill="1" applyBorder="1" applyAlignment="1" applyProtection="1">
      <alignment horizontal="center" vertical="center"/>
    </xf>
    <xf numFmtId="0" fontId="17" fillId="20" borderId="20" xfId="56" applyFont="1" applyFill="1" applyBorder="1" applyAlignment="1" applyProtection="1">
      <alignment horizontal="center" vertical="center"/>
    </xf>
    <xf numFmtId="0" fontId="17" fillId="20" borderId="19" xfId="59" applyFont="1" applyFill="1" applyBorder="1" applyAlignment="1">
      <alignment horizontal="center" wrapText="1"/>
    </xf>
    <xf numFmtId="0" fontId="17" fillId="20" borderId="10" xfId="59" applyFont="1" applyFill="1" applyBorder="1" applyAlignment="1">
      <alignment horizontal="center" wrapText="1"/>
    </xf>
    <xf numFmtId="0" fontId="17" fillId="20" borderId="20" xfId="59" applyFont="1" applyFill="1" applyBorder="1" applyAlignment="1">
      <alignment horizontal="center" wrapText="1"/>
    </xf>
    <xf numFmtId="4" fontId="17" fillId="20" borderId="19" xfId="56" applyNumberFormat="1" applyFont="1" applyFill="1" applyBorder="1" applyAlignment="1" applyProtection="1">
      <alignment horizontal="center" vertical="center"/>
    </xf>
    <xf numFmtId="4" fontId="17" fillId="20" borderId="10" xfId="56" applyNumberFormat="1" applyFont="1" applyFill="1" applyBorder="1" applyAlignment="1" applyProtection="1">
      <alignment horizontal="center" vertical="center"/>
    </xf>
    <xf numFmtId="10" fontId="17" fillId="20" borderId="20" xfId="56" applyNumberFormat="1" applyFont="1" applyFill="1" applyBorder="1" applyAlignment="1" applyProtection="1">
      <alignment horizontal="center" vertical="center"/>
    </xf>
    <xf numFmtId="4" fontId="17" fillId="20" borderId="20" xfId="56" applyNumberFormat="1" applyFont="1" applyFill="1" applyBorder="1" applyAlignment="1" applyProtection="1">
      <alignment horizontal="center" vertical="center"/>
    </xf>
    <xf numFmtId="4" fontId="17" fillId="20" borderId="19" xfId="59" applyNumberFormat="1" applyFont="1" applyFill="1" applyBorder="1" applyAlignment="1">
      <alignment horizontal="center" vertical="center"/>
    </xf>
    <xf numFmtId="4" fontId="17" fillId="20" borderId="10" xfId="59" applyNumberFormat="1" applyFont="1" applyFill="1" applyBorder="1" applyAlignment="1">
      <alignment horizontal="center" vertical="center"/>
    </xf>
    <xf numFmtId="4" fontId="17" fillId="20" borderId="19" xfId="59" applyNumberFormat="1" applyFont="1" applyFill="1" applyBorder="1" applyAlignment="1" applyProtection="1">
      <alignment horizontal="center" vertical="center"/>
    </xf>
    <xf numFmtId="4" fontId="17" fillId="20" borderId="10" xfId="59" applyNumberFormat="1" applyFont="1" applyFill="1" applyBorder="1" applyAlignment="1" applyProtection="1">
      <alignment horizontal="center" vertical="center"/>
    </xf>
    <xf numFmtId="173" fontId="17" fillId="20" borderId="19" xfId="56" applyNumberFormat="1" applyFont="1" applyFill="1" applyBorder="1" applyAlignment="1" applyProtection="1">
      <alignment horizontal="center" vertical="center"/>
    </xf>
    <xf numFmtId="4" fontId="17" fillId="20" borderId="21" xfId="59" applyNumberFormat="1" applyFont="1" applyFill="1" applyBorder="1" applyAlignment="1" applyProtection="1">
      <alignment horizontal="center" vertical="center"/>
    </xf>
    <xf numFmtId="4" fontId="17" fillId="20" borderId="22" xfId="59" applyNumberFormat="1" applyFont="1" applyFill="1" applyBorder="1" applyAlignment="1" applyProtection="1">
      <alignment horizontal="center" vertical="center"/>
    </xf>
    <xf numFmtId="10" fontId="17" fillId="20" borderId="23" xfId="56" applyNumberFormat="1" applyFont="1" applyFill="1" applyBorder="1" applyAlignment="1" applyProtection="1">
      <alignment horizontal="center" vertical="center"/>
    </xf>
    <xf numFmtId="4" fontId="17" fillId="20" borderId="21" xfId="59" applyNumberFormat="1" applyFont="1" applyFill="1" applyBorder="1" applyAlignment="1">
      <alignment horizontal="center" vertical="center"/>
    </xf>
    <xf numFmtId="4" fontId="17" fillId="20" borderId="22" xfId="59" applyNumberFormat="1" applyFont="1" applyFill="1" applyBorder="1" applyAlignment="1">
      <alignment horizontal="center" vertical="center"/>
    </xf>
    <xf numFmtId="10" fontId="17" fillId="20" borderId="20" xfId="59" applyNumberFormat="1" applyFont="1" applyFill="1" applyBorder="1" applyAlignment="1">
      <alignment horizontal="center" vertical="center"/>
    </xf>
    <xf numFmtId="4" fontId="17" fillId="20" borderId="20" xfId="59" applyNumberFormat="1" applyFont="1" applyFill="1" applyBorder="1" applyAlignment="1">
      <alignment horizontal="center" vertical="center"/>
    </xf>
    <xf numFmtId="10" fontId="17" fillId="20" borderId="20" xfId="56" applyNumberFormat="1" applyFont="1" applyFill="1" applyBorder="1" applyAlignment="1" applyProtection="1">
      <alignment vertical="center"/>
    </xf>
    <xf numFmtId="10" fontId="17" fillId="20" borderId="23" xfId="56" applyNumberFormat="1" applyFont="1" applyFill="1" applyBorder="1" applyAlignment="1" applyProtection="1">
      <alignment vertical="center"/>
    </xf>
    <xf numFmtId="0" fontId="17" fillId="20" borderId="10" xfId="36" applyFont="1" applyFill="1" applyBorder="1"/>
    <xf numFmtId="49" fontId="17" fillId="20" borderId="10" xfId="36" applyNumberFormat="1" applyFont="1" applyFill="1" applyBorder="1" applyAlignment="1">
      <alignment wrapText="1"/>
    </xf>
    <xf numFmtId="0" fontId="17" fillId="0" borderId="10" xfId="36" applyFont="1" applyFill="1" applyBorder="1" applyAlignment="1">
      <alignment horizontal="left"/>
    </xf>
    <xf numFmtId="0" fontId="17" fillId="20" borderId="10" xfId="36" applyFont="1" applyFill="1" applyBorder="1" applyAlignment="1">
      <alignment horizontal="right"/>
    </xf>
    <xf numFmtId="49" fontId="17" fillId="0" borderId="10" xfId="36" applyNumberFormat="1" applyFont="1" applyFill="1" applyBorder="1" applyAlignment="1">
      <alignment wrapText="1"/>
    </xf>
    <xf numFmtId="0" fontId="17" fillId="20" borderId="10" xfId="55" applyFont="1" applyFill="1" applyBorder="1" applyAlignment="1">
      <alignment vertical="center" wrapText="1"/>
    </xf>
    <xf numFmtId="172" fontId="17" fillId="20" borderId="10" xfId="55" applyNumberFormat="1" applyFont="1" applyFill="1" applyBorder="1" applyAlignment="1">
      <alignment vertical="center" wrapText="1"/>
    </xf>
    <xf numFmtId="49" fontId="17" fillId="20" borderId="10" xfId="55" applyNumberFormat="1" applyFont="1" applyFill="1" applyBorder="1" applyAlignment="1">
      <alignment vertical="center" wrapText="1"/>
    </xf>
    <xf numFmtId="0" fontId="17" fillId="20" borderId="18" xfId="36" applyFont="1" applyFill="1" applyBorder="1"/>
    <xf numFmtId="1" fontId="17" fillId="20" borderId="13" xfId="55" applyNumberFormat="1" applyFont="1" applyFill="1" applyBorder="1" applyAlignment="1" applyProtection="1">
      <alignment horizontal="center" vertical="center" wrapText="1"/>
      <protection locked="0"/>
    </xf>
    <xf numFmtId="0" fontId="17" fillId="20" borderId="10" xfId="55" applyFont="1" applyFill="1" applyBorder="1" applyAlignment="1">
      <alignment horizontal="center" wrapText="1"/>
    </xf>
    <xf numFmtId="168" fontId="17" fillId="20" borderId="10" xfId="55" applyNumberFormat="1" applyFont="1" applyFill="1" applyBorder="1" applyAlignment="1">
      <alignment horizontal="center" vertical="center" wrapText="1"/>
    </xf>
    <xf numFmtId="168" fontId="17" fillId="20" borderId="10" xfId="67" applyNumberFormat="1" applyFont="1" applyFill="1" applyBorder="1" applyAlignment="1">
      <alignment horizontal="center" vertical="center" wrapText="1"/>
    </xf>
    <xf numFmtId="0" fontId="17" fillId="20" borderId="10" xfId="55" applyFont="1" applyFill="1" applyBorder="1" applyAlignment="1">
      <alignment horizontal="center" vertical="center"/>
    </xf>
    <xf numFmtId="3" fontId="17" fillId="20" borderId="10" xfId="55" applyNumberFormat="1" applyFont="1" applyFill="1" applyBorder="1" applyAlignment="1">
      <alignment horizontal="center" vertical="center" wrapText="1"/>
    </xf>
    <xf numFmtId="0" fontId="17" fillId="20" borderId="10" xfId="36" applyFont="1" applyFill="1" applyBorder="1" applyAlignment="1">
      <alignment horizontal="center" vertical="center"/>
    </xf>
    <xf numFmtId="3" fontId="17" fillId="0" borderId="10" xfId="36" applyNumberFormat="1" applyFont="1" applyFill="1" applyBorder="1" applyAlignment="1">
      <alignment horizontal="center" vertical="center"/>
    </xf>
    <xf numFmtId="3" fontId="19" fillId="21" borderId="10" xfId="34" applyNumberFormat="1" applyFont="1" applyFill="1" applyBorder="1" applyAlignment="1">
      <alignment horizontal="center" vertical="center"/>
    </xf>
    <xf numFmtId="1" fontId="17" fillId="0" borderId="18" xfId="36" applyNumberFormat="1" applyFont="1" applyFill="1" applyBorder="1" applyAlignment="1" applyProtection="1">
      <alignment horizontal="center" vertical="center" wrapText="1"/>
      <protection locked="0"/>
    </xf>
    <xf numFmtId="0" fontId="17" fillId="0" borderId="10" xfId="56" applyFont="1" applyFill="1" applyBorder="1" applyAlignment="1" applyProtection="1">
      <alignment horizontal="center" vertical="center" wrapText="1"/>
      <protection locked="0"/>
    </xf>
    <xf numFmtId="1" fontId="17" fillId="0" borderId="19" xfId="36" applyNumberFormat="1" applyFont="1" applyFill="1" applyBorder="1" applyAlignment="1" applyProtection="1">
      <alignment horizontal="center" vertical="center" wrapText="1"/>
    </xf>
    <xf numFmtId="10" fontId="17" fillId="0" borderId="18" xfId="39" applyNumberFormat="1" applyFont="1" applyFill="1" applyBorder="1" applyAlignment="1" applyProtection="1">
      <alignment horizontal="center" vertical="center"/>
    </xf>
    <xf numFmtId="10" fontId="17" fillId="0" borderId="24" xfId="39" applyNumberFormat="1" applyFont="1" applyFill="1" applyBorder="1" applyAlignment="1" applyProtection="1">
      <alignment horizontal="center" vertical="center"/>
    </xf>
    <xf numFmtId="10" fontId="17" fillId="0" borderId="20" xfId="39" applyNumberFormat="1" applyFont="1" applyFill="1" applyBorder="1" applyAlignment="1" applyProtection="1">
      <alignment horizontal="center" vertical="center"/>
    </xf>
    <xf numFmtId="10" fontId="17" fillId="0" borderId="25" xfId="39" applyNumberFormat="1" applyFont="1" applyFill="1" applyBorder="1" applyAlignment="1" applyProtection="1">
      <alignment horizontal="center" vertical="center"/>
    </xf>
    <xf numFmtId="10" fontId="17" fillId="0" borderId="23" xfId="39" applyNumberFormat="1" applyFont="1" applyFill="1" applyBorder="1" applyAlignment="1" applyProtection="1">
      <alignment horizontal="center" vertical="center"/>
    </xf>
    <xf numFmtId="1" fontId="19" fillId="20" borderId="13" xfId="36" applyNumberFormat="1" applyFont="1" applyFill="1" applyBorder="1" applyAlignment="1" applyProtection="1">
      <alignment horizontal="center" vertical="center" wrapText="1"/>
      <protection locked="0"/>
    </xf>
    <xf numFmtId="10" fontId="7" fillId="20" borderId="24" xfId="39" applyNumberFormat="1" applyFont="1" applyFill="1" applyBorder="1" applyAlignment="1" applyProtection="1">
      <alignment horizontal="center" vertical="center" wrapText="1"/>
    </xf>
    <xf numFmtId="10" fontId="7" fillId="20" borderId="20" xfId="39" applyNumberFormat="1" applyFont="1" applyFill="1" applyBorder="1" applyAlignment="1" applyProtection="1">
      <alignment horizontal="center" vertical="center" wrapText="1"/>
    </xf>
    <xf numFmtId="10" fontId="7" fillId="20" borderId="26" xfId="39" applyNumberFormat="1" applyFont="1" applyFill="1" applyBorder="1" applyAlignment="1" applyProtection="1">
      <alignment horizontal="center" vertical="center" wrapText="1"/>
    </xf>
    <xf numFmtId="0" fontId="17" fillId="0" borderId="10" xfId="36" applyFont="1" applyBorder="1" applyAlignment="1" applyProtection="1">
      <alignment horizontal="center" vertical="center" wrapText="1"/>
      <protection locked="0"/>
    </xf>
    <xf numFmtId="4" fontId="7" fillId="0" borderId="10" xfId="66" applyNumberFormat="1" applyFont="1" applyFill="1" applyBorder="1" applyAlignment="1" applyProtection="1">
      <alignment horizontal="center" vertical="center"/>
      <protection locked="0"/>
    </xf>
    <xf numFmtId="4" fontId="7" fillId="20" borderId="10" xfId="66" applyNumberFormat="1" applyFont="1" applyFill="1" applyBorder="1" applyAlignment="1" applyProtection="1">
      <alignment horizontal="center" vertical="center"/>
      <protection locked="0"/>
    </xf>
    <xf numFmtId="4" fontId="42" fillId="20" borderId="10" xfId="66" applyNumberFormat="1" applyFont="1" applyFill="1" applyBorder="1" applyAlignment="1" applyProtection="1">
      <alignment horizontal="center" vertical="center"/>
      <protection locked="0"/>
    </xf>
    <xf numFmtId="3" fontId="7" fillId="20" borderId="10" xfId="66" applyNumberFormat="1" applyFont="1" applyFill="1" applyBorder="1" applyAlignment="1" applyProtection="1">
      <alignment horizontal="center" vertical="center"/>
      <protection locked="0"/>
    </xf>
    <xf numFmtId="4" fontId="7" fillId="20" borderId="10" xfId="66" applyNumberFormat="1" applyFont="1" applyFill="1" applyBorder="1" applyAlignment="1" applyProtection="1">
      <alignment horizontal="center" vertical="center"/>
    </xf>
    <xf numFmtId="3" fontId="17" fillId="20" borderId="10" xfId="66" applyNumberFormat="1" applyFont="1" applyFill="1" applyBorder="1" applyAlignment="1" applyProtection="1">
      <alignment horizontal="center" vertical="center"/>
    </xf>
    <xf numFmtId="9" fontId="17" fillId="20" borderId="10" xfId="67" applyFont="1" applyFill="1" applyBorder="1" applyAlignment="1" applyProtection="1">
      <alignment horizontal="center" vertical="center"/>
      <protection locked="0"/>
    </xf>
    <xf numFmtId="3" fontId="17" fillId="20" borderId="10" xfId="66" applyNumberFormat="1" applyFont="1" applyFill="1" applyBorder="1" applyAlignment="1" applyProtection="1">
      <alignment horizontal="center" vertical="center"/>
      <protection locked="0"/>
    </xf>
    <xf numFmtId="9" fontId="17" fillId="20" borderId="10" xfId="66" applyNumberFormat="1" applyFont="1" applyFill="1" applyBorder="1" applyAlignment="1" applyProtection="1">
      <alignment horizontal="center" vertical="center"/>
    </xf>
    <xf numFmtId="1" fontId="17" fillId="20" borderId="13" xfId="66" applyNumberFormat="1" applyFont="1" applyFill="1" applyBorder="1" applyAlignment="1" applyProtection="1">
      <alignment horizontal="center" vertical="center"/>
    </xf>
    <xf numFmtId="1" fontId="32" fillId="20" borderId="13" xfId="66" applyNumberFormat="1" applyFont="1" applyFill="1" applyBorder="1" applyAlignment="1" applyProtection="1">
      <alignment horizontal="center" vertical="center"/>
    </xf>
    <xf numFmtId="10" fontId="17" fillId="20" borderId="10" xfId="66" applyNumberFormat="1" applyFont="1" applyFill="1" applyBorder="1" applyAlignment="1" applyProtection="1">
      <alignment horizontal="center" vertical="center"/>
    </xf>
    <xf numFmtId="3" fontId="19" fillId="20" borderId="10" xfId="66" applyNumberFormat="1" applyFont="1" applyFill="1" applyBorder="1" applyAlignment="1" applyProtection="1">
      <alignment horizontal="center" vertical="center"/>
    </xf>
    <xf numFmtId="3" fontId="17" fillId="20" borderId="10" xfId="36" applyNumberFormat="1" applyFont="1" applyFill="1" applyBorder="1" applyAlignment="1" applyProtection="1">
      <alignment horizontal="center" vertical="center"/>
      <protection locked="0"/>
    </xf>
    <xf numFmtId="3" fontId="43" fillId="20" borderId="10" xfId="66" applyNumberFormat="1" applyFont="1" applyFill="1" applyBorder="1" applyAlignment="1" applyProtection="1">
      <alignment horizontal="center" vertical="center"/>
    </xf>
    <xf numFmtId="0" fontId="10" fillId="0" borderId="0" xfId="34" applyFont="1" applyFill="1" applyAlignment="1">
      <alignment horizontal="left"/>
    </xf>
    <xf numFmtId="0" fontId="10" fillId="0" borderId="0" xfId="34" applyFont="1" applyFill="1" applyAlignment="1">
      <alignment horizontal="left" indent="9"/>
    </xf>
    <xf numFmtId="0" fontId="7" fillId="0" borderId="0" xfId="34" applyFont="1" applyAlignment="1" applyProtection="1">
      <alignment horizontal="left" indent="9"/>
    </xf>
    <xf numFmtId="0" fontId="25" fillId="0" borderId="0" xfId="34" applyFont="1" applyFill="1" applyAlignment="1">
      <alignment horizontal="left" indent="9"/>
    </xf>
    <xf numFmtId="0" fontId="7" fillId="0" borderId="0" xfId="34" applyFont="1" applyFill="1" applyAlignment="1">
      <alignment horizontal="left" indent="9"/>
    </xf>
    <xf numFmtId="0" fontId="7" fillId="0" borderId="0" xfId="34" applyFont="1" applyAlignment="1" applyProtection="1">
      <alignment horizontal="left"/>
    </xf>
    <xf numFmtId="0" fontId="25" fillId="0" borderId="0" xfId="34" applyFont="1" applyFill="1" applyAlignment="1">
      <alignment horizontal="left"/>
    </xf>
    <xf numFmtId="0" fontId="7" fillId="0" borderId="0" xfId="34" applyFont="1" applyFill="1" applyAlignment="1">
      <alignment horizontal="left"/>
    </xf>
    <xf numFmtId="3" fontId="19" fillId="0" borderId="27" xfId="34" applyNumberFormat="1" applyFont="1" applyFill="1" applyBorder="1" applyAlignment="1">
      <alignment horizontal="center" vertical="center" wrapText="1"/>
    </xf>
    <xf numFmtId="0" fontId="21" fillId="0" borderId="28" xfId="34" applyFont="1" applyFill="1" applyBorder="1" applyAlignment="1">
      <alignment horizontal="center" vertical="center" wrapText="1"/>
    </xf>
    <xf numFmtId="3" fontId="19" fillId="0" borderId="29" xfId="34" applyNumberFormat="1" applyFont="1" applyFill="1" applyBorder="1" applyAlignment="1">
      <alignment horizontal="center" vertical="center" wrapText="1"/>
    </xf>
    <xf numFmtId="3" fontId="22" fillId="0" borderId="30" xfId="34" applyNumberFormat="1" applyFont="1" applyFill="1" applyBorder="1" applyAlignment="1">
      <alignment horizontal="center" vertical="center" wrapText="1"/>
    </xf>
    <xf numFmtId="3" fontId="22" fillId="0" borderId="28" xfId="34" applyNumberFormat="1" applyFont="1" applyFill="1" applyBorder="1"/>
    <xf numFmtId="0" fontId="21" fillId="0" borderId="15" xfId="34" applyFont="1" applyFill="1" applyBorder="1" applyAlignment="1">
      <alignment horizontal="center" vertical="center" wrapText="1"/>
    </xf>
    <xf numFmtId="0" fontId="21" fillId="0" borderId="31" xfId="34" applyFont="1" applyFill="1" applyBorder="1" applyAlignment="1">
      <alignment horizontal="center" vertical="center" wrapText="1"/>
    </xf>
    <xf numFmtId="0" fontId="21" fillId="0" borderId="14" xfId="34" applyFont="1" applyFill="1" applyBorder="1" applyAlignment="1">
      <alignment horizontal="center" vertical="center" wrapText="1"/>
    </xf>
    <xf numFmtId="3" fontId="19" fillId="0" borderId="15" xfId="34" applyNumberFormat="1" applyFont="1" applyFill="1" applyBorder="1" applyAlignment="1">
      <alignment horizontal="center" vertical="center" wrapText="1"/>
    </xf>
    <xf numFmtId="3" fontId="19" fillId="0" borderId="32" xfId="34" applyNumberFormat="1" applyFont="1" applyFill="1" applyBorder="1" applyAlignment="1">
      <alignment horizontal="center" vertical="center" wrapText="1"/>
    </xf>
    <xf numFmtId="0" fontId="21" fillId="0" borderId="33" xfId="34" applyFont="1" applyFill="1" applyBorder="1" applyAlignment="1">
      <alignment horizontal="center" vertical="center" wrapText="1"/>
    </xf>
    <xf numFmtId="0" fontId="21" fillId="0" borderId="34" xfId="34" applyFont="1" applyFill="1" applyBorder="1" applyAlignment="1">
      <alignment horizontal="center" vertical="center" wrapText="1"/>
    </xf>
    <xf numFmtId="0" fontId="19" fillId="0" borderId="35" xfId="34" applyFont="1" applyFill="1" applyBorder="1" applyAlignment="1">
      <alignment horizontal="center" vertical="center" wrapText="1"/>
    </xf>
    <xf numFmtId="0" fontId="22" fillId="0" borderId="12" xfId="34" applyFont="1" applyFill="1" applyBorder="1" applyAlignment="1">
      <alignment horizontal="center" vertical="center" wrapText="1"/>
    </xf>
    <xf numFmtId="3" fontId="19" fillId="0" borderId="35" xfId="34" applyNumberFormat="1" applyFont="1" applyFill="1" applyBorder="1" applyAlignment="1">
      <alignment horizontal="center" vertical="center" wrapText="1"/>
    </xf>
    <xf numFmtId="3" fontId="19" fillId="0" borderId="36" xfId="34" applyNumberFormat="1" applyFont="1" applyFill="1" applyBorder="1" applyAlignment="1">
      <alignment horizontal="center" vertical="center" wrapText="1"/>
    </xf>
    <xf numFmtId="0" fontId="21" fillId="0" borderId="37" xfId="34" applyFont="1" applyFill="1" applyBorder="1" applyAlignment="1">
      <alignment horizontal="center" vertical="center" wrapText="1"/>
    </xf>
    <xf numFmtId="0" fontId="19" fillId="0" borderId="36" xfId="34" applyFont="1" applyFill="1" applyBorder="1" applyAlignment="1">
      <alignment horizontal="center" vertical="center" wrapText="1"/>
    </xf>
    <xf numFmtId="164" fontId="19" fillId="0" borderId="36" xfId="34" applyNumberFormat="1" applyFont="1" applyFill="1" applyBorder="1" applyAlignment="1">
      <alignment horizontal="center" vertical="center" wrapText="1"/>
    </xf>
    <xf numFmtId="3" fontId="19" fillId="0" borderId="38" xfId="34" applyNumberFormat="1" applyFont="1" applyFill="1" applyBorder="1" applyAlignment="1">
      <alignment horizontal="center" vertical="center" wrapText="1"/>
    </xf>
    <xf numFmtId="0" fontId="22" fillId="0" borderId="39" xfId="34" applyFont="1" applyFill="1" applyBorder="1" applyAlignment="1">
      <alignment horizontal="center" vertical="center" wrapText="1"/>
    </xf>
    <xf numFmtId="3" fontId="19" fillId="0" borderId="40" xfId="34" applyNumberFormat="1" applyFont="1" applyFill="1" applyBorder="1" applyAlignment="1">
      <alignment horizontal="center" vertical="center" wrapText="1"/>
    </xf>
    <xf numFmtId="0" fontId="21" fillId="0" borderId="39" xfId="34" applyFont="1" applyFill="1" applyBorder="1" applyAlignment="1">
      <alignment horizontal="center" vertical="center" wrapText="1"/>
    </xf>
    <xf numFmtId="164" fontId="19" fillId="0" borderId="41" xfId="34" applyNumberFormat="1" applyFont="1" applyFill="1" applyBorder="1" applyAlignment="1">
      <alignment horizontal="center" vertical="center" wrapText="1"/>
    </xf>
    <xf numFmtId="3" fontId="19" fillId="0" borderId="42" xfId="34" applyNumberFormat="1" applyFont="1" applyFill="1" applyBorder="1" applyAlignment="1">
      <alignment horizontal="center" vertical="center" wrapText="1"/>
    </xf>
    <xf numFmtId="3" fontId="19" fillId="0" borderId="43" xfId="34" applyNumberFormat="1" applyFont="1" applyFill="1" applyBorder="1" applyAlignment="1">
      <alignment horizontal="center" vertical="center" wrapText="1"/>
    </xf>
    <xf numFmtId="0" fontId="21" fillId="0" borderId="42" xfId="34" applyFont="1" applyFill="1" applyBorder="1" applyAlignment="1">
      <alignment horizontal="center" vertical="center" wrapText="1"/>
    </xf>
    <xf numFmtId="3" fontId="21" fillId="0" borderId="44" xfId="34" applyNumberFormat="1" applyFont="1" applyFill="1" applyBorder="1" applyAlignment="1">
      <alignment horizontal="center" vertical="center" wrapText="1"/>
    </xf>
    <xf numFmtId="3" fontId="21" fillId="0" borderId="40" xfId="34" applyNumberFormat="1" applyFont="1" applyFill="1" applyBorder="1" applyAlignment="1">
      <alignment horizontal="center" vertical="center" wrapText="1"/>
    </xf>
    <xf numFmtId="0" fontId="19" fillId="0" borderId="38" xfId="34" applyFont="1" applyFill="1" applyBorder="1" applyAlignment="1">
      <alignment horizontal="center" vertical="center" wrapText="1"/>
    </xf>
    <xf numFmtId="3" fontId="21" fillId="0" borderId="35" xfId="34" applyNumberFormat="1" applyFont="1" applyFill="1" applyBorder="1" applyAlignment="1">
      <alignment horizontal="center" vertical="center" wrapText="1"/>
    </xf>
    <xf numFmtId="3" fontId="19" fillId="0" borderId="45" xfId="34" applyNumberFormat="1" applyFont="1" applyFill="1" applyBorder="1" applyAlignment="1">
      <alignment horizontal="center" vertical="center" wrapText="1"/>
    </xf>
    <xf numFmtId="3" fontId="21" fillId="0" borderId="28" xfId="34" applyNumberFormat="1" applyFont="1" applyFill="1" applyBorder="1" applyAlignment="1">
      <alignment horizontal="center" vertical="center" wrapText="1"/>
    </xf>
    <xf numFmtId="3" fontId="4" fillId="0" borderId="45" xfId="39" applyNumberFormat="1" applyFont="1" applyBorder="1" applyAlignment="1">
      <alignment horizontal="center" vertical="center"/>
    </xf>
    <xf numFmtId="0" fontId="39" fillId="20" borderId="45" xfId="39" applyNumberFormat="1" applyFont="1" applyFill="1" applyBorder="1" applyAlignment="1">
      <alignment horizontal="center" vertical="center"/>
    </xf>
    <xf numFmtId="0" fontId="39" fillId="20" borderId="45" xfId="39" applyNumberFormat="1" applyFont="1" applyFill="1" applyBorder="1" applyAlignment="1" applyProtection="1">
      <alignment horizontal="center" vertical="center"/>
      <protection locked="0"/>
    </xf>
    <xf numFmtId="0" fontId="39" fillId="0" borderId="45" xfId="39" applyNumberFormat="1" applyFont="1" applyBorder="1" applyAlignment="1">
      <alignment horizontal="center" vertical="center"/>
    </xf>
    <xf numFmtId="3" fontId="40" fillId="23" borderId="36" xfId="34" applyNumberFormat="1" applyFont="1" applyFill="1" applyBorder="1" applyAlignment="1">
      <alignment horizontal="center" vertical="center"/>
    </xf>
    <xf numFmtId="0" fontId="39" fillId="20" borderId="36" xfId="39" applyNumberFormat="1" applyFont="1" applyFill="1" applyBorder="1" applyAlignment="1" applyProtection="1">
      <alignment horizontal="center" vertical="center"/>
      <protection locked="0"/>
    </xf>
    <xf numFmtId="0" fontId="39" fillId="20" borderId="40" xfId="39" applyNumberFormat="1" applyFont="1" applyFill="1" applyBorder="1" applyAlignment="1" applyProtection="1">
      <alignment horizontal="center" vertical="center"/>
      <protection locked="0"/>
    </xf>
    <xf numFmtId="0" fontId="39" fillId="0" borderId="36" xfId="39" applyNumberFormat="1" applyFont="1" applyBorder="1" applyAlignment="1" applyProtection="1">
      <alignment horizontal="center" vertical="center"/>
      <protection locked="0"/>
    </xf>
    <xf numFmtId="0" fontId="39" fillId="0" borderId="45" xfId="39" applyNumberFormat="1" applyFont="1" applyBorder="1" applyAlignment="1" applyProtection="1">
      <alignment horizontal="center" vertical="center"/>
      <protection locked="0"/>
    </xf>
    <xf numFmtId="0" fontId="39" fillId="20" borderId="36" xfId="39" applyNumberFormat="1" applyFont="1" applyFill="1" applyBorder="1" applyAlignment="1">
      <alignment horizontal="center" vertical="center"/>
    </xf>
    <xf numFmtId="0" fontId="44" fillId="20" borderId="46" xfId="34" applyFont="1" applyFill="1" applyBorder="1" applyAlignment="1">
      <alignment horizontal="center"/>
    </xf>
    <xf numFmtId="0" fontId="44" fillId="20" borderId="35" xfId="34" applyFont="1" applyFill="1" applyBorder="1" applyAlignment="1">
      <alignment horizontal="center"/>
    </xf>
    <xf numFmtId="3" fontId="3" fillId="20" borderId="46" xfId="34" applyNumberFormat="1" applyFont="1" applyFill="1" applyBorder="1" applyAlignment="1">
      <alignment horizontal="center" vertical="center"/>
    </xf>
    <xf numFmtId="3" fontId="3" fillId="20" borderId="35" xfId="34" applyNumberFormat="1" applyFont="1" applyFill="1" applyBorder="1" applyAlignment="1" applyProtection="1">
      <alignment horizontal="center" vertical="center"/>
      <protection locked="0"/>
    </xf>
    <xf numFmtId="3" fontId="3" fillId="20" borderId="28" xfId="34" applyNumberFormat="1" applyFont="1" applyFill="1" applyBorder="1" applyAlignment="1" applyProtection="1">
      <alignment horizontal="center" vertical="center"/>
      <protection locked="0"/>
    </xf>
    <xf numFmtId="3" fontId="22" fillId="0" borderId="47" xfId="34" applyNumberFormat="1" applyFont="1" applyFill="1" applyBorder="1" applyAlignment="1">
      <alignment horizontal="center" vertical="center"/>
    </xf>
    <xf numFmtId="3" fontId="22" fillId="0" borderId="48" xfId="34" applyNumberFormat="1" applyFont="1" applyFill="1" applyBorder="1" applyAlignment="1">
      <alignment horizontal="center" vertical="center"/>
    </xf>
    <xf numFmtId="3" fontId="39" fillId="0" borderId="36" xfId="39" applyNumberFormat="1" applyFont="1" applyBorder="1" applyAlignment="1">
      <alignment horizontal="center" vertical="center"/>
    </xf>
    <xf numFmtId="3" fontId="39" fillId="0" borderId="40" xfId="39" applyNumberFormat="1" applyFont="1" applyBorder="1" applyAlignment="1" applyProtection="1">
      <alignment horizontal="center" vertical="center"/>
      <protection locked="0"/>
    </xf>
    <xf numFmtId="3" fontId="39" fillId="0" borderId="36" xfId="39" applyNumberFormat="1" applyFont="1" applyBorder="1" applyAlignment="1" applyProtection="1">
      <alignment horizontal="center" vertical="center"/>
      <protection locked="0"/>
    </xf>
    <xf numFmtId="3" fontId="39" fillId="24" borderId="40" xfId="39" applyNumberFormat="1" applyFont="1" applyFill="1" applyBorder="1" applyAlignment="1" applyProtection="1">
      <alignment horizontal="center" vertical="center"/>
      <protection locked="0"/>
    </xf>
    <xf numFmtId="3" fontId="39" fillId="0" borderId="38" xfId="39" applyNumberFormat="1" applyFont="1" applyBorder="1" applyAlignment="1" applyProtection="1">
      <alignment horizontal="center" vertical="center"/>
      <protection locked="0"/>
    </xf>
    <xf numFmtId="3" fontId="40" fillId="23" borderId="38" xfId="34" applyNumberFormat="1" applyFont="1" applyFill="1" applyBorder="1" applyAlignment="1">
      <alignment horizontal="center" vertical="center"/>
    </xf>
    <xf numFmtId="3" fontId="39" fillId="24" borderId="36" xfId="39" applyNumberFormat="1" applyFont="1" applyFill="1" applyBorder="1" applyAlignment="1" applyProtection="1">
      <alignment horizontal="center" vertical="center"/>
      <protection locked="0"/>
    </xf>
    <xf numFmtId="3" fontId="22" fillId="0" borderId="38" xfId="34" applyNumberFormat="1" applyFont="1" applyFill="1" applyBorder="1" applyAlignment="1">
      <alignment horizontal="center" vertical="center"/>
    </xf>
    <xf numFmtId="3" fontId="22" fillId="0" borderId="36" xfId="34" applyNumberFormat="1" applyFont="1" applyFill="1" applyBorder="1" applyAlignment="1">
      <alignment horizontal="center" vertical="center"/>
    </xf>
    <xf numFmtId="0" fontId="44" fillId="20" borderId="45" xfId="34" applyFont="1" applyFill="1" applyBorder="1" applyAlignment="1">
      <alignment horizontal="center"/>
    </xf>
    <xf numFmtId="0" fontId="44" fillId="20" borderId="36" xfId="34" applyFont="1" applyFill="1" applyBorder="1" applyAlignment="1">
      <alignment horizontal="center"/>
    </xf>
    <xf numFmtId="3" fontId="3" fillId="20" borderId="45" xfId="34" applyNumberFormat="1" applyFont="1" applyFill="1" applyBorder="1" applyAlignment="1">
      <alignment horizontal="center" vertical="center"/>
    </xf>
    <xf numFmtId="3" fontId="3" fillId="20" borderId="36" xfId="34" applyNumberFormat="1" applyFont="1" applyFill="1" applyBorder="1" applyAlignment="1" applyProtection="1">
      <alignment horizontal="center" vertical="center"/>
      <protection locked="0"/>
    </xf>
    <xf numFmtId="3" fontId="3" fillId="20" borderId="38" xfId="34" applyNumberFormat="1" applyFont="1" applyFill="1" applyBorder="1" applyAlignment="1" applyProtection="1">
      <alignment horizontal="center" vertical="center"/>
      <protection locked="0"/>
    </xf>
    <xf numFmtId="3" fontId="39" fillId="20" borderId="36" xfId="39" applyNumberFormat="1" applyFont="1" applyFill="1" applyBorder="1" applyAlignment="1">
      <alignment horizontal="center" vertical="center"/>
    </xf>
    <xf numFmtId="3" fontId="39" fillId="20" borderId="40" xfId="39" applyNumberFormat="1" applyFont="1" applyFill="1" applyBorder="1" applyAlignment="1" applyProtection="1">
      <alignment horizontal="center" vertical="center"/>
      <protection locked="0"/>
    </xf>
    <xf numFmtId="3" fontId="39" fillId="20" borderId="36" xfId="39" applyNumberFormat="1" applyFont="1" applyFill="1" applyBorder="1" applyAlignment="1" applyProtection="1">
      <alignment horizontal="center" vertical="center"/>
      <protection locked="0"/>
    </xf>
    <xf numFmtId="3" fontId="39" fillId="20" borderId="38" xfId="39" applyNumberFormat="1" applyFont="1" applyFill="1" applyBorder="1" applyAlignment="1" applyProtection="1">
      <alignment horizontal="center" vertical="center"/>
      <protection locked="0"/>
    </xf>
    <xf numFmtId="3" fontId="4" fillId="0" borderId="36" xfId="39" applyNumberFormat="1" applyFont="1" applyBorder="1" applyAlignment="1">
      <alignment horizontal="center" vertical="center"/>
    </xf>
    <xf numFmtId="0" fontId="4" fillId="20" borderId="38" xfId="39" applyNumberFormat="1" applyFont="1" applyFill="1" applyBorder="1" applyAlignment="1">
      <alignment horizontal="center" vertical="center"/>
    </xf>
    <xf numFmtId="0" fontId="4" fillId="20" borderId="45" xfId="39" applyNumberFormat="1" applyFont="1" applyFill="1" applyBorder="1" applyAlignment="1">
      <alignment horizontal="center" vertical="center"/>
    </xf>
    <xf numFmtId="3" fontId="45" fillId="23" borderId="36" xfId="34" applyNumberFormat="1" applyFont="1" applyFill="1" applyBorder="1" applyAlignment="1">
      <alignment horizontal="center" vertical="center"/>
    </xf>
    <xf numFmtId="0" fontId="4" fillId="20" borderId="36" xfId="39" applyNumberFormat="1" applyFont="1" applyFill="1" applyBorder="1" applyAlignment="1">
      <alignment horizontal="center" vertical="center"/>
    </xf>
    <xf numFmtId="0" fontId="4" fillId="0" borderId="36" xfId="39" applyNumberFormat="1" applyFont="1" applyBorder="1" applyAlignment="1">
      <alignment horizontal="center" vertical="center"/>
    </xf>
    <xf numFmtId="3" fontId="4" fillId="20" borderId="41" xfId="34" applyNumberFormat="1" applyFont="1" applyFill="1" applyBorder="1" applyAlignment="1">
      <alignment horizontal="center" vertical="center"/>
    </xf>
    <xf numFmtId="3" fontId="4" fillId="20" borderId="43" xfId="34" applyNumberFormat="1" applyFont="1" applyFill="1" applyBorder="1" applyAlignment="1">
      <alignment horizontal="center" vertical="center"/>
    </xf>
    <xf numFmtId="3" fontId="4" fillId="20" borderId="37" xfId="34" applyNumberFormat="1" applyFont="1" applyFill="1" applyBorder="1" applyAlignment="1">
      <alignment horizontal="center" vertical="center"/>
    </xf>
    <xf numFmtId="3" fontId="21" fillId="0" borderId="45" xfId="34" applyNumberFormat="1" applyFont="1" applyFill="1" applyBorder="1" applyAlignment="1">
      <alignment horizontal="center" vertical="center"/>
    </xf>
    <xf numFmtId="3" fontId="21" fillId="0" borderId="36" xfId="34" applyNumberFormat="1" applyFont="1" applyFill="1" applyBorder="1" applyAlignment="1">
      <alignment horizontal="center" vertical="center"/>
    </xf>
    <xf numFmtId="3" fontId="4" fillId="20" borderId="43" xfId="39" applyNumberFormat="1" applyFont="1" applyFill="1" applyBorder="1" applyAlignment="1">
      <alignment horizontal="center" vertical="center"/>
    </xf>
    <xf numFmtId="3" fontId="4" fillId="24" borderId="43" xfId="39" applyNumberFormat="1" applyFont="1" applyFill="1" applyBorder="1" applyAlignment="1">
      <alignment horizontal="center" vertical="center"/>
    </xf>
    <xf numFmtId="3" fontId="45" fillId="23" borderId="38" xfId="34" applyNumberFormat="1" applyFont="1" applyFill="1" applyBorder="1" applyAlignment="1">
      <alignment horizontal="center" vertical="center"/>
    </xf>
    <xf numFmtId="3" fontId="21" fillId="0" borderId="38" xfId="34" applyNumberFormat="1" applyFont="1" applyFill="1" applyBorder="1" applyAlignment="1">
      <alignment horizontal="center" vertical="center"/>
    </xf>
    <xf numFmtId="0" fontId="22" fillId="0" borderId="34" xfId="34" applyFont="1" applyFill="1" applyBorder="1" applyAlignment="1">
      <alignment horizontal="center" vertical="center" wrapText="1"/>
    </xf>
    <xf numFmtId="0" fontId="19" fillId="0" borderId="41" xfId="34" applyFont="1" applyFill="1" applyBorder="1" applyAlignment="1">
      <alignment horizontal="center" vertical="center" wrapText="1"/>
    </xf>
    <xf numFmtId="164" fontId="19" fillId="0" borderId="43" xfId="34" applyNumberFormat="1" applyFont="1" applyFill="1" applyBorder="1" applyAlignment="1">
      <alignment horizontal="center" vertical="center" wrapText="1"/>
    </xf>
    <xf numFmtId="3" fontId="19" fillId="0" borderId="37" xfId="34" applyNumberFormat="1" applyFont="1" applyFill="1" applyBorder="1" applyAlignment="1">
      <alignment horizontal="center" vertical="center" wrapText="1"/>
    </xf>
    <xf numFmtId="3" fontId="19" fillId="0" borderId="49" xfId="34" applyNumberFormat="1" applyFont="1" applyFill="1" applyBorder="1" applyAlignment="1">
      <alignment horizontal="center" vertical="center" wrapText="1"/>
    </xf>
    <xf numFmtId="164" fontId="19" fillId="0" borderId="37" xfId="34" applyNumberFormat="1" applyFont="1" applyFill="1" applyBorder="1" applyAlignment="1">
      <alignment horizontal="center" vertical="center" wrapText="1"/>
    </xf>
    <xf numFmtId="3" fontId="19" fillId="0" borderId="41" xfId="34" applyNumberFormat="1" applyFont="1" applyFill="1" applyBorder="1" applyAlignment="1">
      <alignment horizontal="center" vertical="center" wrapText="1"/>
    </xf>
    <xf numFmtId="3" fontId="19" fillId="0" borderId="16" xfId="34" applyNumberFormat="1" applyFont="1" applyFill="1" applyBorder="1" applyAlignment="1">
      <alignment horizontal="center" vertical="center" wrapText="1"/>
    </xf>
    <xf numFmtId="3" fontId="21" fillId="0" borderId="18" xfId="34" applyNumberFormat="1" applyFont="1" applyFill="1" applyBorder="1" applyAlignment="1">
      <alignment horizontal="center" vertical="center" wrapText="1"/>
    </xf>
    <xf numFmtId="3" fontId="21" fillId="0" borderId="34" xfId="34" applyNumberFormat="1" applyFont="1" applyFill="1" applyBorder="1" applyAlignment="1">
      <alignment horizontal="center" vertical="center" wrapText="1"/>
    </xf>
    <xf numFmtId="3" fontId="40" fillId="25" borderId="36" xfId="34" applyNumberFormat="1" applyFont="1" applyFill="1" applyBorder="1" applyAlignment="1">
      <alignment horizontal="center" vertical="center"/>
    </xf>
    <xf numFmtId="0" fontId="44" fillId="20" borderId="14" xfId="34" applyFont="1" applyFill="1" applyBorder="1" applyAlignment="1">
      <alignment horizontal="center"/>
    </xf>
    <xf numFmtId="0" fontId="44" fillId="20" borderId="43" xfId="34" applyFont="1" applyFill="1" applyBorder="1" applyAlignment="1">
      <alignment horizontal="center"/>
    </xf>
    <xf numFmtId="3" fontId="3" fillId="20" borderId="36" xfId="34" applyNumberFormat="1" applyFont="1" applyFill="1" applyBorder="1" applyAlignment="1">
      <alignment horizontal="center" vertical="center"/>
    </xf>
    <xf numFmtId="3" fontId="45" fillId="25" borderId="36" xfId="34" applyNumberFormat="1" applyFont="1" applyFill="1" applyBorder="1" applyAlignment="1">
      <alignment horizontal="center" vertical="center"/>
    </xf>
    <xf numFmtId="3" fontId="3" fillId="20" borderId="41" xfId="34" applyNumberFormat="1" applyFont="1" applyFill="1" applyBorder="1" applyAlignment="1">
      <alignment horizontal="center" vertical="center"/>
    </xf>
    <xf numFmtId="164" fontId="19" fillId="0" borderId="45" xfId="34" applyNumberFormat="1" applyFont="1" applyFill="1" applyBorder="1" applyAlignment="1">
      <alignment horizontal="center" vertical="center" wrapText="1"/>
    </xf>
    <xf numFmtId="164" fontId="19" fillId="0" borderId="42" xfId="34" applyNumberFormat="1" applyFont="1" applyFill="1" applyBorder="1" applyAlignment="1">
      <alignment horizontal="center" vertical="center" wrapText="1"/>
    </xf>
    <xf numFmtId="0" fontId="19" fillId="0" borderId="40" xfId="34" applyFont="1" applyFill="1" applyBorder="1" applyAlignment="1">
      <alignment horizontal="center" vertical="center" wrapText="1"/>
    </xf>
    <xf numFmtId="3" fontId="4" fillId="20" borderId="36" xfId="39" applyNumberFormat="1" applyFont="1" applyFill="1" applyBorder="1" applyAlignment="1">
      <alignment horizontal="center" vertical="center"/>
    </xf>
    <xf numFmtId="3" fontId="4" fillId="24" borderId="36" xfId="39" applyNumberFormat="1" applyFont="1" applyFill="1" applyBorder="1" applyAlignment="1">
      <alignment horizontal="center" vertical="center"/>
    </xf>
    <xf numFmtId="0" fontId="21" fillId="0" borderId="30" xfId="34" applyFont="1" applyFill="1" applyBorder="1" applyAlignment="1">
      <alignment horizontal="center" vertical="center" wrapText="1"/>
    </xf>
    <xf numFmtId="0" fontId="21" fillId="0" borderId="35" xfId="34" applyFont="1" applyFill="1" applyBorder="1" applyAlignment="1">
      <alignment horizontal="center" vertical="center" wrapText="1"/>
    </xf>
    <xf numFmtId="0" fontId="21" fillId="0" borderId="50" xfId="34" applyFont="1" applyFill="1" applyBorder="1" applyAlignment="1">
      <alignment horizontal="center" vertical="center" wrapText="1"/>
    </xf>
    <xf numFmtId="0" fontId="21" fillId="0" borderId="43" xfId="34" applyFont="1" applyFill="1" applyBorder="1" applyAlignment="1">
      <alignment horizontal="center" vertical="center" wrapText="1"/>
    </xf>
    <xf numFmtId="0" fontId="22" fillId="0" borderId="40" xfId="34" applyFont="1" applyFill="1" applyBorder="1" applyAlignment="1">
      <alignment horizontal="center" vertical="center" wrapText="1"/>
    </xf>
    <xf numFmtId="3" fontId="23" fillId="0" borderId="44" xfId="34" applyNumberFormat="1" applyFont="1" applyFill="1" applyBorder="1" applyAlignment="1">
      <alignment horizontal="center" vertical="center" wrapText="1"/>
    </xf>
    <xf numFmtId="3" fontId="23" fillId="0" borderId="40" xfId="34" applyNumberFormat="1" applyFont="1" applyFill="1" applyBorder="1" applyAlignment="1">
      <alignment horizontal="center" vertical="center" wrapText="1"/>
    </xf>
    <xf numFmtId="3" fontId="21" fillId="0" borderId="38" xfId="34" applyNumberFormat="1" applyFont="1" applyFill="1" applyBorder="1" applyAlignment="1">
      <alignment horizontal="center" vertical="center" wrapText="1"/>
    </xf>
    <xf numFmtId="0" fontId="21" fillId="0" borderId="36" xfId="34" applyFont="1" applyFill="1" applyBorder="1" applyAlignment="1">
      <alignment horizontal="center" vertical="center" wrapText="1"/>
    </xf>
    <xf numFmtId="3" fontId="21" fillId="0" borderId="36" xfId="34" applyNumberFormat="1" applyFont="1" applyFill="1" applyBorder="1" applyAlignment="1">
      <alignment horizontal="center" vertical="center" wrapText="1"/>
    </xf>
    <xf numFmtId="3" fontId="23" fillId="0" borderId="14" xfId="34" applyNumberFormat="1" applyFont="1" applyFill="1" applyBorder="1" applyAlignment="1">
      <alignment horizontal="center" vertical="center" wrapText="1"/>
    </xf>
    <xf numFmtId="3" fontId="23" fillId="0" borderId="16" xfId="34" applyNumberFormat="1" applyFont="1" applyFill="1" applyBorder="1" applyAlignment="1">
      <alignment horizontal="center" vertical="center" wrapText="1"/>
    </xf>
    <xf numFmtId="3" fontId="19" fillId="0" borderId="14" xfId="34" applyNumberFormat="1" applyFont="1" applyFill="1" applyBorder="1" applyAlignment="1">
      <alignment horizontal="center" vertical="center" wrapText="1"/>
    </xf>
    <xf numFmtId="3" fontId="3" fillId="0" borderId="45" xfId="39" applyNumberFormat="1" applyFont="1" applyBorder="1" applyAlignment="1">
      <alignment horizontal="center" vertical="center" wrapText="1"/>
    </xf>
    <xf numFmtId="0" fontId="3" fillId="0" borderId="45" xfId="34" applyNumberFormat="1" applyFont="1" applyBorder="1" applyAlignment="1">
      <alignment horizontal="center" vertical="center" wrapText="1"/>
    </xf>
    <xf numFmtId="3" fontId="41" fillId="23" borderId="36" xfId="34" applyNumberFormat="1" applyFont="1" applyFill="1" applyBorder="1" applyAlignment="1">
      <alignment horizontal="center" vertical="center"/>
    </xf>
    <xf numFmtId="3" fontId="3" fillId="0" borderId="45" xfId="34" applyNumberFormat="1" applyFont="1" applyBorder="1" applyAlignment="1">
      <alignment horizontal="center" vertical="center" wrapText="1"/>
    </xf>
    <xf numFmtId="0" fontId="3" fillId="0" borderId="36" xfId="34" applyNumberFormat="1" applyFont="1" applyBorder="1" applyAlignment="1">
      <alignment horizontal="center" vertical="center" wrapText="1"/>
    </xf>
    <xf numFmtId="0" fontId="3" fillId="0" borderId="40" xfId="34" applyNumberFormat="1" applyFont="1" applyBorder="1" applyAlignment="1">
      <alignment horizontal="center" vertical="center" wrapText="1"/>
    </xf>
    <xf numFmtId="3" fontId="22" fillId="0" borderId="33" xfId="34" applyNumberFormat="1" applyFont="1" applyFill="1" applyBorder="1" applyAlignment="1">
      <alignment horizontal="center" vertical="center"/>
    </xf>
    <xf numFmtId="3" fontId="22" fillId="0" borderId="51" xfId="34" applyNumberFormat="1" applyFont="1" applyFill="1" applyBorder="1" applyAlignment="1">
      <alignment horizontal="center" vertical="center"/>
    </xf>
    <xf numFmtId="0" fontId="3" fillId="24" borderId="45" xfId="34" applyNumberFormat="1" applyFont="1" applyFill="1" applyBorder="1" applyAlignment="1">
      <alignment horizontal="center" vertical="center" wrapText="1"/>
    </xf>
    <xf numFmtId="3" fontId="41" fillId="23" borderId="38" xfId="34" applyNumberFormat="1" applyFont="1" applyFill="1" applyBorder="1" applyAlignment="1">
      <alignment horizontal="center" vertical="center"/>
    </xf>
    <xf numFmtId="3" fontId="3" fillId="0" borderId="52" xfId="39" applyNumberFormat="1" applyFont="1" applyBorder="1" applyAlignment="1">
      <alignment horizontal="center" vertical="center" wrapText="1"/>
    </xf>
    <xf numFmtId="0" fontId="3" fillId="0" borderId="52" xfId="34" applyNumberFormat="1" applyFont="1" applyBorder="1" applyAlignment="1">
      <alignment horizontal="center" vertical="center" wrapText="1"/>
    </xf>
    <xf numFmtId="3" fontId="41" fillId="23" borderId="43" xfId="34" applyNumberFormat="1" applyFont="1" applyFill="1" applyBorder="1" applyAlignment="1">
      <alignment horizontal="center" vertical="center"/>
    </xf>
    <xf numFmtId="3" fontId="3" fillId="0" borderId="52" xfId="34" applyNumberFormat="1" applyFont="1" applyBorder="1" applyAlignment="1">
      <alignment horizontal="center" vertical="center" wrapText="1"/>
    </xf>
    <xf numFmtId="0" fontId="3" fillId="0" borderId="50" xfId="34" applyNumberFormat="1" applyFont="1" applyBorder="1" applyAlignment="1">
      <alignment horizontal="center" vertical="center" wrapText="1"/>
    </xf>
    <xf numFmtId="0" fontId="3" fillId="0" borderId="42" xfId="34" applyNumberFormat="1" applyFont="1" applyBorder="1" applyAlignment="1">
      <alignment horizontal="center" vertical="center" wrapText="1"/>
    </xf>
    <xf numFmtId="0" fontId="3" fillId="0" borderId="43" xfId="34" applyNumberFormat="1" applyFont="1" applyBorder="1" applyAlignment="1">
      <alignment horizontal="center" vertical="center" wrapText="1"/>
    </xf>
    <xf numFmtId="3" fontId="22" fillId="0" borderId="39" xfId="34" applyNumberFormat="1" applyFont="1" applyFill="1" applyBorder="1" applyAlignment="1">
      <alignment horizontal="center" vertical="center"/>
    </xf>
    <xf numFmtId="3" fontId="22" fillId="0" borderId="53" xfId="34" applyNumberFormat="1" applyFont="1" applyFill="1" applyBorder="1" applyAlignment="1">
      <alignment horizontal="center" vertical="center"/>
    </xf>
    <xf numFmtId="3" fontId="22" fillId="0" borderId="54" xfId="34" applyNumberFormat="1" applyFont="1" applyFill="1" applyBorder="1" applyAlignment="1">
      <alignment horizontal="center" vertical="center"/>
    </xf>
    <xf numFmtId="0" fontId="3" fillId="24" borderId="52" xfId="34" applyNumberFormat="1" applyFont="1" applyFill="1" applyBorder="1" applyAlignment="1">
      <alignment horizontal="center" vertical="center" wrapText="1"/>
    </xf>
    <xf numFmtId="3" fontId="4" fillId="0" borderId="45" xfId="39" applyNumberFormat="1" applyFont="1" applyBorder="1" applyAlignment="1">
      <alignment horizontal="center" vertical="center" wrapText="1"/>
    </xf>
    <xf numFmtId="0" fontId="4" fillId="0" borderId="45" xfId="34" applyNumberFormat="1" applyFont="1" applyBorder="1" applyAlignment="1">
      <alignment horizontal="center" vertical="center" wrapText="1"/>
    </xf>
    <xf numFmtId="0" fontId="4" fillId="0" borderId="36" xfId="34" applyNumberFormat="1" applyFont="1" applyBorder="1" applyAlignment="1">
      <alignment horizontal="center" vertical="center" wrapText="1"/>
    </xf>
    <xf numFmtId="0" fontId="4" fillId="0" borderId="37" xfId="34" applyNumberFormat="1" applyFont="1" applyBorder="1" applyAlignment="1">
      <alignment horizontal="center" vertical="center"/>
    </xf>
    <xf numFmtId="0" fontId="4" fillId="0" borderId="43" xfId="34" applyNumberFormat="1" applyFont="1" applyBorder="1" applyAlignment="1">
      <alignment horizontal="center" vertical="center"/>
    </xf>
    <xf numFmtId="3" fontId="21" fillId="0" borderId="40" xfId="34" applyNumberFormat="1" applyFont="1" applyFill="1" applyBorder="1" applyAlignment="1">
      <alignment horizontal="center" vertical="center"/>
    </xf>
    <xf numFmtId="0" fontId="4" fillId="24" borderId="45" xfId="34" applyNumberFormat="1" applyFont="1" applyFill="1" applyBorder="1" applyAlignment="1">
      <alignment horizontal="center" vertical="center" wrapText="1"/>
    </xf>
    <xf numFmtId="4" fontId="22" fillId="0" borderId="10" xfId="36" applyNumberFormat="1" applyFont="1" applyFill="1" applyBorder="1" applyAlignment="1" applyProtection="1">
      <alignment horizontal="center" vertical="center" wrapText="1"/>
      <protection locked="0"/>
    </xf>
    <xf numFmtId="4" fontId="17" fillId="0" borderId="10" xfId="34" applyNumberFormat="1" applyFont="1" applyFill="1" applyBorder="1" applyAlignment="1">
      <alignment horizontal="center" vertical="center" wrapText="1"/>
    </xf>
    <xf numFmtId="0" fontId="17" fillId="0" borderId="10" xfId="34" applyFont="1" applyFill="1" applyBorder="1" applyAlignment="1" applyProtection="1">
      <alignment horizontal="center" vertical="justify"/>
    </xf>
    <xf numFmtId="0" fontId="17" fillId="0" borderId="10" xfId="34" applyFont="1" applyFill="1" applyBorder="1" applyAlignment="1" applyProtection="1">
      <alignment horizontal="center" vertical="justify" wrapText="1"/>
    </xf>
    <xf numFmtId="0" fontId="17" fillId="20" borderId="10" xfId="40" applyFont="1" applyFill="1" applyBorder="1" applyAlignment="1">
      <alignment horizontal="left" vertical="top" wrapText="1"/>
    </xf>
    <xf numFmtId="0" fontId="17" fillId="20" borderId="10" xfId="58" applyFont="1" applyFill="1" applyBorder="1" applyAlignment="1" applyProtection="1">
      <alignment horizontal="left" vertical="center" wrapText="1"/>
    </xf>
    <xf numFmtId="0" fontId="17" fillId="20" borderId="10" xfId="65" applyFont="1" applyFill="1" applyBorder="1" applyAlignment="1">
      <alignment horizontal="left" vertical="center" wrapText="1"/>
    </xf>
    <xf numFmtId="0" fontId="17" fillId="20" borderId="10" xfId="65" applyFont="1" applyFill="1" applyBorder="1" applyAlignment="1">
      <alignment vertical="center" wrapText="1"/>
    </xf>
    <xf numFmtId="0" fontId="17" fillId="20" borderId="10" xfId="40" applyFont="1" applyFill="1" applyBorder="1" applyAlignment="1">
      <alignment horizontal="justify" vertical="center"/>
    </xf>
    <xf numFmtId="0" fontId="32" fillId="20" borderId="10" xfId="57" applyNumberFormat="1" applyFont="1" applyFill="1" applyBorder="1" applyAlignment="1">
      <alignment horizontal="left" vertical="center" wrapText="1"/>
    </xf>
    <xf numFmtId="2" fontId="17" fillId="20" borderId="10" xfId="40" applyNumberFormat="1" applyFont="1" applyFill="1" applyBorder="1" applyAlignment="1">
      <alignment horizontal="left" wrapText="1"/>
    </xf>
    <xf numFmtId="0" fontId="17" fillId="20" borderId="10" xfId="36" applyFont="1" applyFill="1" applyBorder="1" applyAlignment="1">
      <alignment horizontal="left" vertical="center" wrapText="1"/>
    </xf>
    <xf numFmtId="0" fontId="32" fillId="20" borderId="10" xfId="61" applyFont="1" applyFill="1" applyBorder="1" applyAlignment="1">
      <alignment horizontal="left" vertical="center" wrapText="1"/>
    </xf>
    <xf numFmtId="0" fontId="17" fillId="20" borderId="10" xfId="36" applyFont="1" applyFill="1" applyBorder="1" applyAlignment="1">
      <alignment vertical="center" wrapText="1"/>
    </xf>
    <xf numFmtId="49" fontId="17" fillId="20" borderId="10" xfId="36" applyNumberFormat="1" applyFont="1" applyFill="1" applyBorder="1" applyAlignment="1">
      <alignment horizontal="left"/>
    </xf>
    <xf numFmtId="49" fontId="22" fillId="20" borderId="10" xfId="36" applyNumberFormat="1" applyFont="1" applyFill="1" applyBorder="1" applyAlignment="1">
      <alignment horizontal="left"/>
    </xf>
    <xf numFmtId="2" fontId="17" fillId="0" borderId="10" xfId="36" applyNumberFormat="1" applyFont="1" applyFill="1" applyBorder="1" applyAlignment="1" applyProtection="1">
      <alignment horizontal="center"/>
    </xf>
    <xf numFmtId="49" fontId="17" fillId="0" borderId="10" xfId="34" applyNumberFormat="1" applyFont="1" applyFill="1" applyBorder="1" applyAlignment="1">
      <alignment horizontal="center" vertical="center" wrapText="1"/>
    </xf>
    <xf numFmtId="49" fontId="17" fillId="0" borderId="10" xfId="34" applyNumberFormat="1" applyFont="1" applyFill="1" applyBorder="1" applyAlignment="1" applyProtection="1">
      <alignment horizontal="center" vertical="center" wrapText="1"/>
    </xf>
    <xf numFmtId="0" fontId="36" fillId="0" borderId="10" xfId="34" applyFont="1" applyFill="1" applyBorder="1" applyAlignment="1" applyProtection="1">
      <alignment horizontal="left" vertical="center" wrapText="1"/>
    </xf>
    <xf numFmtId="0" fontId="17" fillId="0" borderId="10" xfId="36" applyNumberFormat="1" applyFont="1" applyFill="1" applyBorder="1" applyAlignment="1" applyProtection="1">
      <alignment horizontal="center" vertical="center" wrapText="1"/>
    </xf>
    <xf numFmtId="0" fontId="37" fillId="0" borderId="10" xfId="0" applyFont="1" applyBorder="1" applyAlignment="1">
      <alignment wrapText="1"/>
    </xf>
    <xf numFmtId="2" fontId="17" fillId="20" borderId="10" xfId="40" applyNumberFormat="1" applyFont="1" applyFill="1" applyBorder="1" applyAlignment="1">
      <alignment vertical="center" wrapText="1"/>
    </xf>
    <xf numFmtId="49" fontId="17" fillId="20" borderId="10" xfId="36" applyNumberFormat="1" applyFont="1" applyFill="1" applyBorder="1" applyAlignment="1">
      <alignment horizontal="left" vertical="justify"/>
    </xf>
    <xf numFmtId="49" fontId="22" fillId="20" borderId="10" xfId="36" applyNumberFormat="1" applyFont="1" applyFill="1" applyBorder="1" applyAlignment="1">
      <alignment horizontal="left" vertical="justify"/>
    </xf>
    <xf numFmtId="0" fontId="17" fillId="20" borderId="18" xfId="40" applyFont="1" applyFill="1" applyBorder="1" applyAlignment="1">
      <alignment horizontal="justify" vertical="center"/>
    </xf>
    <xf numFmtId="3" fontId="17" fillId="0" borderId="10" xfId="34" applyNumberFormat="1" applyFont="1" applyFill="1" applyBorder="1" applyAlignment="1" applyProtection="1">
      <alignment horizontal="center" vertical="center" wrapText="1"/>
      <protection locked="0"/>
    </xf>
    <xf numFmtId="2" fontId="17" fillId="0" borderId="10" xfId="36" applyNumberFormat="1" applyFont="1" applyFill="1" applyBorder="1" applyAlignment="1" applyProtection="1">
      <alignment horizontal="center" vertical="center" wrapText="1"/>
    </xf>
    <xf numFmtId="2" fontId="17" fillId="0" borderId="10" xfId="36" applyNumberFormat="1" applyFont="1" applyFill="1" applyBorder="1" applyAlignment="1" applyProtection="1">
      <alignment horizontal="center" vertical="center"/>
      <protection locked="0"/>
    </xf>
    <xf numFmtId="2" fontId="17" fillId="0" borderId="10" xfId="36" applyNumberFormat="1" applyFont="1" applyFill="1" applyBorder="1" applyAlignment="1" applyProtection="1">
      <alignment horizontal="center" vertical="center" wrapText="1" readingOrder="1"/>
      <protection locked="0"/>
    </xf>
    <xf numFmtId="2" fontId="22" fillId="0" borderId="10" xfId="40" applyNumberFormat="1" applyFont="1" applyFill="1" applyBorder="1" applyAlignment="1">
      <alignment horizontal="center" vertical="center"/>
    </xf>
    <xf numFmtId="0" fontId="22" fillId="0" borderId="10" xfId="36" applyFont="1" applyFill="1" applyBorder="1" applyAlignment="1">
      <alignment horizontal="center" vertical="center"/>
    </xf>
    <xf numFmtId="0" fontId="22" fillId="0" borderId="10" xfId="40" applyFont="1" applyFill="1" applyBorder="1" applyAlignment="1">
      <alignment horizontal="center" vertical="center"/>
    </xf>
    <xf numFmtId="2" fontId="19" fillId="0" borderId="10" xfId="34" applyNumberFormat="1" applyFont="1" applyFill="1" applyBorder="1" applyAlignment="1">
      <alignment horizontal="center"/>
    </xf>
    <xf numFmtId="167" fontId="22" fillId="0" borderId="10" xfId="36" applyNumberFormat="1" applyFont="1" applyFill="1" applyBorder="1" applyAlignment="1">
      <alignment horizontal="center" vertical="center"/>
    </xf>
    <xf numFmtId="2" fontId="21" fillId="0" borderId="10" xfId="36" applyNumberFormat="1" applyFont="1" applyFill="1" applyBorder="1" applyAlignment="1">
      <alignment horizontal="center" vertical="center"/>
    </xf>
    <xf numFmtId="2" fontId="22" fillId="0" borderId="34" xfId="36" applyNumberFormat="1" applyFont="1" applyFill="1" applyBorder="1" applyAlignment="1">
      <alignment horizontal="center" vertical="center"/>
    </xf>
    <xf numFmtId="4" fontId="22" fillId="0" borderId="10" xfId="0" applyNumberFormat="1" applyFont="1" applyBorder="1" applyAlignment="1">
      <alignment horizontal="center"/>
    </xf>
    <xf numFmtId="0" fontId="22" fillId="0" borderId="10" xfId="36" applyFont="1" applyFill="1" applyBorder="1"/>
    <xf numFmtId="0" fontId="22" fillId="0" borderId="10" xfId="0" applyFont="1" applyBorder="1" applyAlignment="1">
      <alignment horizontal="center"/>
    </xf>
    <xf numFmtId="0" fontId="11" fillId="0" borderId="14" xfId="34" applyFont="1" applyFill="1" applyBorder="1" applyAlignment="1" applyProtection="1">
      <alignment horizontal="left" vertical="center"/>
    </xf>
    <xf numFmtId="14" fontId="11" fillId="25" borderId="48" xfId="34" applyNumberFormat="1" applyFont="1" applyFill="1" applyBorder="1" applyAlignment="1" applyProtection="1">
      <alignment horizontal="center" vertical="center"/>
      <protection locked="0"/>
    </xf>
    <xf numFmtId="1" fontId="11" fillId="25" borderId="43" xfId="34" applyNumberFormat="1" applyFont="1" applyFill="1" applyBorder="1" applyAlignment="1" applyProtection="1">
      <alignment horizontal="center" vertical="center"/>
      <protection locked="0"/>
    </xf>
    <xf numFmtId="0" fontId="11" fillId="25" borderId="36" xfId="34" applyFont="1" applyFill="1" applyBorder="1" applyAlignment="1" applyProtection="1">
      <alignment horizontal="center" vertical="center"/>
      <protection locked="0"/>
    </xf>
    <xf numFmtId="0" fontId="17" fillId="0" borderId="13" xfId="34" applyFont="1" applyFill="1" applyBorder="1" applyAlignment="1" applyProtection="1">
      <alignment horizontal="center" vertical="center" wrapText="1"/>
    </xf>
    <xf numFmtId="0" fontId="17" fillId="0" borderId="13" xfId="34" applyNumberFormat="1" applyFont="1" applyFill="1" applyBorder="1" applyAlignment="1" applyProtection="1">
      <alignment horizontal="center" vertical="center" wrapText="1"/>
    </xf>
    <xf numFmtId="0" fontId="19" fillId="0" borderId="10" xfId="34" applyFont="1" applyFill="1" applyBorder="1" applyAlignment="1" applyProtection="1">
      <alignment horizontal="center" vertical="center" wrapText="1"/>
      <protection locked="0"/>
    </xf>
    <xf numFmtId="4" fontId="17" fillId="0" borderId="19" xfId="59" applyNumberFormat="1" applyFont="1" applyFill="1" applyBorder="1" applyAlignment="1">
      <alignment horizontal="center" vertical="center"/>
    </xf>
    <xf numFmtId="4" fontId="17" fillId="0" borderId="10" xfId="59" applyNumberFormat="1" applyFont="1" applyFill="1" applyBorder="1" applyAlignment="1">
      <alignment horizontal="center" vertical="center"/>
    </xf>
    <xf numFmtId="4" fontId="17" fillId="0" borderId="10" xfId="56" applyNumberFormat="1" applyFont="1" applyFill="1" applyBorder="1" applyAlignment="1" applyProtection="1">
      <alignment horizontal="center" vertical="center"/>
    </xf>
    <xf numFmtId="4" fontId="17" fillId="0" borderId="21" xfId="59" applyNumberFormat="1" applyFont="1" applyFill="1" applyBorder="1" applyAlignment="1">
      <alignment horizontal="center" vertical="center"/>
    </xf>
    <xf numFmtId="4" fontId="17" fillId="0" borderId="22" xfId="59" applyNumberFormat="1" applyFont="1" applyFill="1" applyBorder="1" applyAlignment="1">
      <alignment horizontal="center" vertical="center"/>
    </xf>
    <xf numFmtId="0" fontId="7" fillId="20" borderId="10" xfId="36" applyFont="1" applyFill="1" applyBorder="1" applyAlignment="1" applyProtection="1">
      <alignment horizontal="center" vertical="center" wrapText="1"/>
      <protection locked="0"/>
    </xf>
    <xf numFmtId="0" fontId="7" fillId="20" borderId="10" xfId="36" applyFont="1" applyFill="1" applyBorder="1" applyAlignment="1">
      <alignment horizontal="center"/>
    </xf>
    <xf numFmtId="0" fontId="7" fillId="20" borderId="10" xfId="56" applyFont="1" applyFill="1" applyBorder="1" applyAlignment="1" applyProtection="1">
      <alignment horizontal="center" vertical="center" wrapText="1"/>
      <protection locked="0"/>
    </xf>
    <xf numFmtId="3" fontId="7" fillId="20" borderId="56" xfId="39" applyNumberFormat="1" applyFont="1" applyFill="1" applyBorder="1" applyAlignment="1" applyProtection="1">
      <alignment horizontal="center" vertical="center" wrapText="1"/>
      <protection locked="0"/>
    </xf>
    <xf numFmtId="3" fontId="7" fillId="20" borderId="19" xfId="39" applyNumberFormat="1" applyFont="1" applyFill="1" applyBorder="1" applyAlignment="1" applyProtection="1">
      <alignment horizontal="center" vertical="center" wrapText="1"/>
      <protection locked="0"/>
    </xf>
    <xf numFmtId="3" fontId="7" fillId="20" borderId="57" xfId="39" applyNumberFormat="1" applyFont="1" applyFill="1" applyBorder="1" applyAlignment="1" applyProtection="1">
      <alignment horizontal="center" vertical="center" wrapText="1"/>
      <protection locked="0"/>
    </xf>
    <xf numFmtId="0" fontId="19" fillId="25" borderId="34" xfId="34" applyFont="1" applyFill="1" applyBorder="1" applyAlignment="1" applyProtection="1">
      <alignment horizontal="left" vertical="center" wrapText="1"/>
      <protection locked="0"/>
    </xf>
    <xf numFmtId="0" fontId="19" fillId="25" borderId="17" xfId="34" applyFont="1" applyFill="1" applyBorder="1" applyAlignment="1" applyProtection="1">
      <alignment horizontal="left" vertical="center" wrapText="1"/>
      <protection locked="0"/>
    </xf>
    <xf numFmtId="0" fontId="19" fillId="25" borderId="10" xfId="34" applyFont="1" applyFill="1" applyBorder="1" applyAlignment="1" applyProtection="1">
      <alignment horizontal="center" vertical="center" wrapText="1"/>
      <protection locked="0"/>
    </xf>
    <xf numFmtId="0" fontId="19" fillId="25" borderId="10" xfId="64" applyFont="1" applyFill="1" applyBorder="1" applyAlignment="1">
      <alignment horizontal="center"/>
    </xf>
    <xf numFmtId="3" fontId="7" fillId="20" borderId="19" xfId="39" applyNumberFormat="1" applyFont="1" applyFill="1" applyBorder="1" applyAlignment="1" applyProtection="1">
      <alignment horizontal="center" vertical="center"/>
      <protection locked="0"/>
    </xf>
    <xf numFmtId="3" fontId="7" fillId="20" borderId="56" xfId="39" applyNumberFormat="1" applyFont="1" applyFill="1" applyBorder="1" applyAlignment="1" applyProtection="1">
      <alignment horizontal="center" vertical="center"/>
      <protection locked="0"/>
    </xf>
    <xf numFmtId="3" fontId="7" fillId="20" borderId="57" xfId="39" applyNumberFormat="1" applyFont="1" applyFill="1" applyBorder="1" applyAlignment="1" applyProtection="1">
      <alignment horizontal="center" vertical="center"/>
      <protection locked="0"/>
    </xf>
    <xf numFmtId="3" fontId="7" fillId="20" borderId="21" xfId="39" applyNumberFormat="1" applyFont="1" applyFill="1" applyBorder="1" applyAlignment="1" applyProtection="1">
      <alignment horizontal="center" vertical="center"/>
      <protection locked="0"/>
    </xf>
    <xf numFmtId="1" fontId="7" fillId="20" borderId="58" xfId="56" applyNumberFormat="1" applyFont="1" applyFill="1" applyBorder="1" applyAlignment="1" applyProtection="1">
      <alignment horizontal="center" vertical="center" wrapText="1"/>
      <protection locked="0"/>
    </xf>
    <xf numFmtId="0" fontId="7" fillId="20" borderId="59" xfId="56" applyFont="1" applyFill="1" applyBorder="1" applyAlignment="1" applyProtection="1">
      <alignment horizontal="center" vertical="center" wrapText="1"/>
      <protection locked="0"/>
    </xf>
    <xf numFmtId="0" fontId="7" fillId="20" borderId="59" xfId="53" applyFont="1" applyFill="1" applyBorder="1" applyAlignment="1" applyProtection="1">
      <alignment horizontal="center" vertical="center" wrapText="1"/>
      <protection locked="0"/>
    </xf>
    <xf numFmtId="0" fontId="7" fillId="20" borderId="60" xfId="53" applyFont="1" applyFill="1" applyBorder="1" applyAlignment="1" applyProtection="1">
      <alignment horizontal="center" vertical="center" wrapText="1"/>
      <protection locked="0"/>
    </xf>
    <xf numFmtId="1" fontId="7" fillId="20" borderId="19" xfId="56" applyNumberFormat="1" applyFont="1" applyFill="1" applyBorder="1" applyAlignment="1" applyProtection="1">
      <alignment horizontal="center" vertical="center" wrapText="1"/>
      <protection locked="0"/>
    </xf>
    <xf numFmtId="0" fontId="7" fillId="20" borderId="10" xfId="36" applyFont="1" applyFill="1" applyBorder="1" applyAlignment="1">
      <alignment horizontal="center" vertical="center"/>
    </xf>
    <xf numFmtId="0" fontId="7" fillId="20" borderId="10" xfId="53" applyFont="1" applyFill="1" applyBorder="1" applyAlignment="1" applyProtection="1">
      <alignment horizontal="center" vertical="center" wrapText="1"/>
      <protection locked="0"/>
    </xf>
    <xf numFmtId="0" fontId="7" fillId="20" borderId="20" xfId="53" applyFont="1" applyFill="1" applyBorder="1" applyAlignment="1" applyProtection="1">
      <alignment horizontal="center" vertical="center" wrapText="1"/>
      <protection locked="0"/>
    </xf>
    <xf numFmtId="0" fontId="7" fillId="20" borderId="11" xfId="53" applyFont="1" applyFill="1" applyBorder="1" applyAlignment="1" applyProtection="1">
      <alignment horizontal="center" vertical="center" wrapText="1"/>
      <protection locked="0"/>
    </xf>
    <xf numFmtId="49" fontId="7" fillId="20" borderId="10" xfId="56" applyNumberFormat="1" applyFont="1" applyFill="1" applyBorder="1" applyAlignment="1" applyProtection="1">
      <alignment horizontal="center" vertical="center" wrapText="1"/>
      <protection locked="0"/>
    </xf>
    <xf numFmtId="0" fontId="7" fillId="0" borderId="10" xfId="56" applyFont="1" applyBorder="1" applyAlignment="1" applyProtection="1">
      <alignment horizontal="center" vertical="center" wrapText="1"/>
      <protection locked="0"/>
    </xf>
    <xf numFmtId="0" fontId="7" fillId="0" borderId="10" xfId="56" applyFont="1" applyFill="1" applyBorder="1" applyAlignment="1" applyProtection="1">
      <alignment horizontal="center" vertical="center" wrapText="1"/>
      <protection locked="0"/>
    </xf>
    <xf numFmtId="0" fontId="7" fillId="0" borderId="10" xfId="53" applyFont="1" applyBorder="1" applyAlignment="1" applyProtection="1">
      <alignment horizontal="center" vertical="center" wrapText="1"/>
      <protection locked="0"/>
    </xf>
    <xf numFmtId="0" fontId="7" fillId="0" borderId="20" xfId="53" applyFont="1" applyBorder="1" applyAlignment="1" applyProtection="1">
      <alignment horizontal="center" vertical="center" wrapText="1"/>
      <protection locked="0"/>
    </xf>
    <xf numFmtId="0" fontId="7" fillId="20" borderId="10" xfId="36" applyFont="1" applyFill="1" applyBorder="1" applyAlignment="1">
      <alignment horizontal="center" vertical="center" wrapText="1"/>
    </xf>
    <xf numFmtId="0" fontId="7" fillId="0" borderId="10" xfId="53" applyFont="1" applyFill="1" applyBorder="1" applyAlignment="1" applyProtection="1">
      <alignment horizontal="center" vertical="center" wrapText="1"/>
      <protection locked="0"/>
    </xf>
    <xf numFmtId="0" fontId="5" fillId="20" borderId="10" xfId="56" applyFont="1" applyFill="1" applyBorder="1" applyAlignment="1" applyProtection="1">
      <alignment horizontal="center" vertical="center" wrapText="1"/>
      <protection locked="0"/>
    </xf>
    <xf numFmtId="0" fontId="47" fillId="20" borderId="10" xfId="56" applyFont="1" applyFill="1" applyBorder="1" applyAlignment="1" applyProtection="1">
      <alignment horizontal="center" vertical="center" wrapText="1"/>
      <protection locked="0"/>
    </xf>
    <xf numFmtId="0" fontId="48" fillId="20" borderId="10" xfId="56" applyFont="1" applyFill="1" applyBorder="1" applyAlignment="1" applyProtection="1">
      <alignment horizontal="center" vertical="center" wrapText="1"/>
      <protection locked="0"/>
    </xf>
    <xf numFmtId="0" fontId="17" fillId="0" borderId="10" xfId="53" applyFont="1" applyFill="1" applyBorder="1" applyAlignment="1" applyProtection="1">
      <alignment horizontal="center" vertical="center" wrapText="1"/>
      <protection locked="0"/>
    </xf>
    <xf numFmtId="0" fontId="7" fillId="0" borderId="10" xfId="36" applyFont="1" applyBorder="1" applyAlignment="1">
      <alignment horizontal="center"/>
    </xf>
    <xf numFmtId="49" fontId="7" fillId="0" borderId="10" xfId="36" applyNumberFormat="1" applyFont="1" applyBorder="1" applyAlignment="1">
      <alignment horizontal="center"/>
    </xf>
    <xf numFmtId="0" fontId="7" fillId="0" borderId="10" xfId="36" applyFont="1" applyBorder="1" applyAlignment="1">
      <alignment horizontal="center" vertical="top"/>
    </xf>
    <xf numFmtId="0" fontId="42" fillId="0" borderId="10" xfId="36" applyFont="1" applyBorder="1" applyAlignment="1">
      <alignment horizontal="center" vertical="top" wrapText="1"/>
    </xf>
    <xf numFmtId="0" fontId="19" fillId="0" borderId="11" xfId="34" applyFont="1" applyFill="1" applyBorder="1" applyAlignment="1">
      <alignment horizontal="center" vertical="center" wrapText="1"/>
    </xf>
    <xf numFmtId="168" fontId="17" fillId="0" borderId="10" xfId="36" applyNumberFormat="1" applyFont="1" applyFill="1" applyBorder="1" applyAlignment="1">
      <alignment horizontal="center" vertical="center"/>
    </xf>
    <xf numFmtId="10" fontId="19" fillId="21" borderId="10" xfId="34" applyNumberFormat="1" applyFont="1" applyFill="1" applyBorder="1" applyAlignment="1">
      <alignment horizontal="center" vertical="center"/>
    </xf>
    <xf numFmtId="4" fontId="19" fillId="25" borderId="10" xfId="36" applyNumberFormat="1" applyFont="1" applyFill="1" applyBorder="1" applyAlignment="1" applyProtection="1">
      <alignment horizontal="center" vertical="center" wrapText="1"/>
    </xf>
    <xf numFmtId="10" fontId="19" fillId="25" borderId="10" xfId="36" applyNumberFormat="1" applyFont="1" applyFill="1" applyBorder="1" applyAlignment="1" applyProtection="1">
      <alignment horizontal="center" vertical="center" wrapText="1"/>
    </xf>
    <xf numFmtId="10" fontId="19" fillId="25" borderId="10" xfId="36" applyNumberFormat="1" applyFont="1" applyFill="1" applyBorder="1" applyAlignment="1" applyProtection="1">
      <alignment horizontal="center" vertical="center" wrapText="1"/>
      <protection locked="0"/>
    </xf>
    <xf numFmtId="4" fontId="19" fillId="25" borderId="10" xfId="36" applyNumberFormat="1" applyFont="1" applyFill="1" applyBorder="1" applyAlignment="1" applyProtection="1">
      <alignment horizontal="center" vertical="center" wrapText="1"/>
      <protection locked="0"/>
    </xf>
    <xf numFmtId="0" fontId="7" fillId="0" borderId="0" xfId="36" applyFont="1" applyFill="1"/>
    <xf numFmtId="0" fontId="10" fillId="0" borderId="0" xfId="36" applyFont="1" applyAlignment="1"/>
    <xf numFmtId="0" fontId="10" fillId="0" borderId="0" xfId="36" applyFont="1" applyAlignment="1">
      <alignment horizontal="left" indent="4"/>
    </xf>
    <xf numFmtId="0" fontId="9" fillId="0" borderId="0" xfId="36" applyFont="1" applyProtection="1"/>
    <xf numFmtId="0" fontId="0" fillId="0" borderId="0" xfId="36" applyFont="1" applyFill="1"/>
    <xf numFmtId="0" fontId="17" fillId="0" borderId="0" xfId="36" applyFont="1" applyFill="1" applyAlignment="1" applyProtection="1">
      <alignment horizontal="center"/>
    </xf>
    <xf numFmtId="0" fontId="17" fillId="22" borderId="10" xfId="36" applyFont="1" applyFill="1" applyBorder="1" applyAlignment="1" applyProtection="1">
      <alignment horizontal="center" vertical="center" wrapText="1"/>
    </xf>
    <xf numFmtId="0" fontId="17" fillId="22" borderId="10" xfId="36" applyFont="1" applyFill="1" applyBorder="1" applyAlignment="1" applyProtection="1">
      <alignment horizontal="center"/>
    </xf>
    <xf numFmtId="0" fontId="49" fillId="0" borderId="13" xfId="36" applyFont="1" applyFill="1" applyBorder="1" applyAlignment="1" applyProtection="1">
      <alignment horizontal="left" vertical="center" wrapText="1"/>
    </xf>
    <xf numFmtId="49" fontId="22" fillId="0" borderId="10" xfId="36" applyNumberFormat="1" applyFont="1" applyFill="1" applyBorder="1" applyAlignment="1" applyProtection="1">
      <alignment horizontal="center" vertical="center" wrapText="1"/>
      <protection locked="0"/>
    </xf>
    <xf numFmtId="49" fontId="7" fillId="0" borderId="10" xfId="36" applyNumberFormat="1" applyFont="1" applyFill="1" applyBorder="1" applyAlignment="1" applyProtection="1">
      <alignment horizontal="center" vertical="center" wrapText="1" readingOrder="1"/>
    </xf>
    <xf numFmtId="2" fontId="7" fillId="0" borderId="10" xfId="36" applyNumberFormat="1" applyFont="1" applyFill="1" applyBorder="1" applyAlignment="1" applyProtection="1">
      <alignment horizontal="center" vertical="center" wrapText="1" readingOrder="1"/>
    </xf>
    <xf numFmtId="49" fontId="7" fillId="0" borderId="17" xfId="36" applyNumberFormat="1" applyFont="1" applyFill="1" applyBorder="1" applyAlignment="1" applyProtection="1">
      <alignment horizontal="center" vertical="center" wrapText="1" readingOrder="1"/>
    </xf>
    <xf numFmtId="2" fontId="7" fillId="0" borderId="10" xfId="36" applyNumberFormat="1" applyFont="1" applyFill="1" applyBorder="1" applyAlignment="1" applyProtection="1">
      <alignment horizontal="center" vertical="center" wrapText="1" readingOrder="1"/>
      <protection locked="0"/>
    </xf>
    <xf numFmtId="49" fontId="22" fillId="0" borderId="11" xfId="36" applyNumberFormat="1" applyFont="1" applyFill="1" applyBorder="1" applyAlignment="1" applyProtection="1">
      <alignment horizontal="center" vertical="center" wrapText="1"/>
      <protection locked="0"/>
    </xf>
    <xf numFmtId="169" fontId="17" fillId="0" borderId="13" xfId="36" applyNumberFormat="1" applyFont="1" applyFill="1" applyBorder="1" applyAlignment="1" applyProtection="1">
      <alignment horizontal="center" vertical="center" wrapText="1"/>
    </xf>
    <xf numFmtId="0" fontId="49" fillId="20" borderId="13" xfId="36" applyFont="1" applyFill="1" applyBorder="1" applyAlignment="1" applyProtection="1">
      <alignment horizontal="left" vertical="center" wrapText="1"/>
    </xf>
    <xf numFmtId="2" fontId="17" fillId="20" borderId="10" xfId="36" applyNumberFormat="1" applyFont="1" applyFill="1" applyBorder="1" applyAlignment="1" applyProtection="1">
      <alignment horizontal="center" vertical="center"/>
      <protection locked="0"/>
    </xf>
    <xf numFmtId="0" fontId="42" fillId="20" borderId="10" xfId="40" applyFont="1" applyFill="1" applyBorder="1" applyAlignment="1">
      <alignment horizontal="center" vertical="top" wrapText="1"/>
    </xf>
    <xf numFmtId="2" fontId="7" fillId="20" borderId="10" xfId="36" applyNumberFormat="1" applyFont="1" applyFill="1" applyBorder="1" applyAlignment="1" applyProtection="1">
      <alignment horizontal="center" vertical="center" wrapText="1"/>
    </xf>
    <xf numFmtId="4" fontId="7" fillId="20" borderId="11" xfId="36" applyNumberFormat="1" applyFont="1" applyFill="1" applyBorder="1" applyAlignment="1" applyProtection="1">
      <alignment horizontal="center" vertical="center"/>
      <protection locked="0"/>
    </xf>
    <xf numFmtId="2" fontId="7" fillId="20" borderId="10" xfId="36" applyNumberFormat="1" applyFont="1" applyFill="1" applyBorder="1" applyAlignment="1" applyProtection="1">
      <alignment horizontal="center" vertical="center"/>
      <protection locked="0"/>
    </xf>
    <xf numFmtId="0" fontId="7" fillId="20" borderId="10" xfId="36" applyFont="1" applyFill="1" applyBorder="1" applyAlignment="1" applyProtection="1">
      <alignment horizontal="center" vertical="center" wrapText="1"/>
    </xf>
    <xf numFmtId="172" fontId="7" fillId="20" borderId="10" xfId="36" applyNumberFormat="1" applyFont="1" applyFill="1" applyBorder="1" applyAlignment="1" applyProtection="1">
      <alignment horizontal="center" vertical="center" wrapText="1"/>
    </xf>
    <xf numFmtId="1" fontId="42" fillId="20" borderId="17" xfId="36" applyNumberFormat="1" applyFont="1" applyFill="1" applyBorder="1" applyAlignment="1" applyProtection="1">
      <alignment horizontal="center" vertical="center" wrapText="1"/>
    </xf>
    <xf numFmtId="0" fontId="42" fillId="20" borderId="13" xfId="36" applyFont="1" applyFill="1" applyBorder="1" applyAlignment="1" applyProtection="1">
      <alignment horizontal="center" vertical="center" wrapText="1"/>
    </xf>
    <xf numFmtId="0" fontId="49" fillId="20" borderId="10" xfId="36" applyFont="1" applyFill="1" applyBorder="1" applyAlignment="1" applyProtection="1">
      <alignment horizontal="left" vertical="center" wrapText="1"/>
    </xf>
    <xf numFmtId="4" fontId="7" fillId="20" borderId="10" xfId="36" applyNumberFormat="1" applyFont="1" applyFill="1" applyBorder="1" applyAlignment="1" applyProtection="1">
      <alignment horizontal="center" vertical="center"/>
      <protection locked="0"/>
    </xf>
    <xf numFmtId="49" fontId="17" fillId="18" borderId="10" xfId="36" applyNumberFormat="1" applyFont="1" applyFill="1" applyBorder="1" applyAlignment="1" applyProtection="1">
      <alignment horizontal="center" vertical="center" wrapText="1"/>
    </xf>
    <xf numFmtId="0" fontId="49" fillId="18" borderId="10" xfId="40" applyFont="1" applyFill="1" applyBorder="1" applyAlignment="1">
      <alignment horizontal="left" vertical="top" wrapText="1"/>
    </xf>
    <xf numFmtId="2" fontId="17" fillId="18" borderId="10" xfId="36" applyNumberFormat="1" applyFont="1" applyFill="1" applyBorder="1" applyAlignment="1" applyProtection="1">
      <alignment horizontal="center" vertical="center" wrapText="1"/>
    </xf>
    <xf numFmtId="49" fontId="22" fillId="18" borderId="11" xfId="36" applyNumberFormat="1" applyFont="1" applyFill="1" applyBorder="1" applyAlignment="1" applyProtection="1">
      <alignment horizontal="center" vertical="center" wrapText="1"/>
      <protection locked="0"/>
    </xf>
    <xf numFmtId="4" fontId="22" fillId="18" borderId="10" xfId="36" applyNumberFormat="1" applyFont="1" applyFill="1" applyBorder="1" applyAlignment="1" applyProtection="1">
      <alignment horizontal="center" vertical="center"/>
      <protection locked="0"/>
    </xf>
    <xf numFmtId="4" fontId="17" fillId="18" borderId="10" xfId="36" applyNumberFormat="1" applyFont="1" applyFill="1" applyBorder="1" applyAlignment="1" applyProtection="1">
      <alignment horizontal="center" vertical="center"/>
      <protection locked="0"/>
    </xf>
    <xf numFmtId="49" fontId="49" fillId="0" borderId="10" xfId="40" applyNumberFormat="1" applyFont="1" applyFill="1" applyBorder="1" applyAlignment="1">
      <alignment horizontal="left" vertical="center" wrapText="1" readingOrder="1"/>
    </xf>
    <xf numFmtId="2" fontId="17" fillId="0" borderId="10" xfId="36" applyNumberFormat="1" applyFont="1" applyFill="1" applyBorder="1" applyAlignment="1" applyProtection="1">
      <alignment horizontal="center" vertical="center" wrapText="1" readingOrder="1"/>
    </xf>
    <xf numFmtId="0" fontId="17" fillId="0" borderId="17" xfId="36" applyNumberFormat="1" applyFont="1" applyFill="1" applyBorder="1" applyAlignment="1" applyProtection="1">
      <alignment horizontal="center" vertical="center" wrapText="1" readingOrder="1"/>
    </xf>
    <xf numFmtId="0" fontId="42" fillId="0" borderId="10" xfId="40" applyFont="1" applyFill="1" applyBorder="1" applyAlignment="1">
      <alignment horizontal="center" vertical="top" wrapText="1"/>
    </xf>
    <xf numFmtId="2" fontId="7" fillId="0" borderId="10" xfId="36" applyNumberFormat="1" applyFont="1" applyFill="1" applyBorder="1" applyAlignment="1" applyProtection="1">
      <alignment horizontal="center" vertical="center" wrapText="1"/>
    </xf>
    <xf numFmtId="4" fontId="7" fillId="0" borderId="11" xfId="36" applyNumberFormat="1" applyFont="1" applyFill="1" applyBorder="1" applyAlignment="1" applyProtection="1">
      <alignment horizontal="center" vertical="center"/>
      <protection locked="0"/>
    </xf>
    <xf numFmtId="4" fontId="7" fillId="0" borderId="10" xfId="36" applyNumberFormat="1" applyFont="1" applyFill="1" applyBorder="1" applyAlignment="1" applyProtection="1">
      <alignment horizontal="center" vertical="center"/>
      <protection locked="0"/>
    </xf>
    <xf numFmtId="49" fontId="17" fillId="0" borderId="17" xfId="36" applyNumberFormat="1" applyFont="1" applyFill="1" applyBorder="1" applyAlignment="1" applyProtection="1">
      <alignment horizontal="center" vertical="center" wrapText="1" readingOrder="1"/>
    </xf>
    <xf numFmtId="49" fontId="49" fillId="0" borderId="10" xfId="36" applyNumberFormat="1" applyFont="1" applyFill="1" applyBorder="1" applyAlignment="1" applyProtection="1">
      <alignment horizontal="left" vertical="center" wrapText="1" readingOrder="1"/>
    </xf>
    <xf numFmtId="0" fontId="49" fillId="0" borderId="10" xfId="36" applyFont="1" applyFill="1" applyBorder="1" applyAlignment="1" applyProtection="1">
      <alignment horizontal="left" vertical="center" wrapText="1"/>
    </xf>
    <xf numFmtId="172" fontId="17" fillId="0" borderId="10" xfId="36" applyNumberFormat="1" applyFont="1" applyFill="1" applyBorder="1" applyAlignment="1" applyProtection="1">
      <alignment horizontal="center" vertical="center" wrapText="1"/>
    </xf>
    <xf numFmtId="49" fontId="19" fillId="18" borderId="19" xfId="36" applyNumberFormat="1" applyFont="1" applyFill="1" applyBorder="1" applyAlignment="1" applyProtection="1">
      <alignment horizontal="center" vertical="center" wrapText="1" readingOrder="1"/>
    </xf>
    <xf numFmtId="49" fontId="17" fillId="18" borderId="10" xfId="36" applyNumberFormat="1" applyFont="1" applyFill="1" applyBorder="1" applyAlignment="1" applyProtection="1">
      <alignment horizontal="center" vertical="center" wrapText="1" readingOrder="1"/>
    </xf>
    <xf numFmtId="49" fontId="49" fillId="18" borderId="10" xfId="36" applyNumberFormat="1" applyFont="1" applyFill="1" applyBorder="1" applyAlignment="1" applyProtection="1">
      <alignment horizontal="left" vertical="center" wrapText="1" readingOrder="1"/>
    </xf>
    <xf numFmtId="2" fontId="19" fillId="18" borderId="10" xfId="36" applyNumberFormat="1" applyFont="1" applyFill="1" applyBorder="1" applyAlignment="1" applyProtection="1">
      <alignment horizontal="center" vertical="center" wrapText="1" readingOrder="1"/>
    </xf>
    <xf numFmtId="49" fontId="19" fillId="18" borderId="17" xfId="36" applyNumberFormat="1" applyFont="1" applyFill="1" applyBorder="1" applyAlignment="1" applyProtection="1">
      <alignment horizontal="center" vertical="center" wrapText="1" readingOrder="1"/>
    </xf>
    <xf numFmtId="49" fontId="22" fillId="18" borderId="11" xfId="36" applyNumberFormat="1" applyFont="1" applyFill="1" applyBorder="1" applyAlignment="1" applyProtection="1">
      <alignment horizontal="center" vertical="center" wrapText="1" readingOrder="1"/>
      <protection locked="0"/>
    </xf>
    <xf numFmtId="49" fontId="22" fillId="18" borderId="10" xfId="36" applyNumberFormat="1" applyFont="1" applyFill="1" applyBorder="1" applyAlignment="1" applyProtection="1">
      <alignment horizontal="center" vertical="center" wrapText="1" readingOrder="1"/>
      <protection locked="0"/>
    </xf>
    <xf numFmtId="49" fontId="17" fillId="18" borderId="10" xfId="36" applyNumberFormat="1" applyFont="1" applyFill="1" applyBorder="1" applyAlignment="1" applyProtection="1">
      <alignment horizontal="center" vertical="center" wrapText="1" readingOrder="1"/>
      <protection locked="0"/>
    </xf>
    <xf numFmtId="0" fontId="49" fillId="20" borderId="13" xfId="36" applyFont="1" applyFill="1" applyBorder="1" applyAlignment="1" applyProtection="1">
      <alignment vertical="center" wrapText="1"/>
    </xf>
    <xf numFmtId="3" fontId="17" fillId="0" borderId="10" xfId="36" applyNumberFormat="1" applyFont="1" applyFill="1" applyBorder="1" applyAlignment="1" applyProtection="1">
      <alignment horizontal="center" vertical="center"/>
      <protection locked="0"/>
    </xf>
    <xf numFmtId="0" fontId="49" fillId="20" borderId="18" xfId="40" applyFont="1" applyFill="1" applyBorder="1" applyAlignment="1">
      <alignment horizontal="left" vertical="center" wrapText="1" shrinkToFit="1"/>
    </xf>
    <xf numFmtId="0" fontId="17" fillId="20" borderId="10" xfId="36" applyNumberFormat="1" applyFont="1" applyFill="1" applyBorder="1" applyAlignment="1" applyProtection="1">
      <alignment horizontal="center" vertical="center"/>
      <protection locked="0"/>
    </xf>
    <xf numFmtId="1" fontId="19" fillId="0" borderId="10" xfId="36" applyNumberFormat="1" applyFont="1" applyFill="1" applyBorder="1" applyAlignment="1" applyProtection="1">
      <alignment horizontal="center" vertical="center"/>
    </xf>
    <xf numFmtId="0" fontId="49" fillId="0" borderId="10" xfId="36" applyFont="1" applyFill="1" applyBorder="1" applyAlignment="1" applyProtection="1">
      <alignment vertical="center" wrapText="1"/>
    </xf>
    <xf numFmtId="1" fontId="43" fillId="0" borderId="17" xfId="36" applyNumberFormat="1" applyFont="1" applyFill="1" applyBorder="1" applyAlignment="1" applyProtection="1">
      <alignment horizontal="center" vertical="center" wrapText="1"/>
    </xf>
    <xf numFmtId="0" fontId="7" fillId="0" borderId="10" xfId="36" applyFont="1" applyFill="1" applyBorder="1" applyAlignment="1" applyProtection="1">
      <alignment horizontal="center" vertical="center" wrapText="1"/>
    </xf>
    <xf numFmtId="0" fontId="7" fillId="0" borderId="10" xfId="40" applyFont="1" applyFill="1" applyBorder="1" applyAlignment="1">
      <alignment horizontal="center" vertical="center" wrapText="1"/>
    </xf>
    <xf numFmtId="169" fontId="7" fillId="0" borderId="10" xfId="36" applyNumberFormat="1" applyFont="1" applyFill="1" applyBorder="1" applyAlignment="1" applyProtection="1">
      <alignment horizontal="center" vertical="center" wrapText="1"/>
    </xf>
    <xf numFmtId="0" fontId="7" fillId="0" borderId="10" xfId="36" applyNumberFormat="1" applyFont="1" applyFill="1" applyBorder="1" applyAlignment="1" applyProtection="1">
      <alignment horizontal="center" vertical="center" wrapText="1"/>
    </xf>
    <xf numFmtId="49" fontId="17" fillId="0" borderId="10" xfId="36" applyNumberFormat="1" applyFont="1" applyFill="1" applyBorder="1" applyAlignment="1" applyProtection="1">
      <alignment horizontal="center"/>
    </xf>
    <xf numFmtId="4" fontId="19" fillId="21" borderId="10" xfId="36" applyNumberFormat="1" applyFont="1" applyFill="1" applyBorder="1" applyAlignment="1" applyProtection="1">
      <alignment horizontal="center" vertical="center"/>
      <protection locked="0"/>
    </xf>
    <xf numFmtId="1" fontId="5" fillId="20" borderId="13" xfId="39" applyNumberFormat="1" applyFont="1" applyFill="1" applyBorder="1" applyAlignment="1" applyProtection="1">
      <alignment horizontal="center" vertical="center" wrapText="1"/>
      <protection locked="0"/>
    </xf>
    <xf numFmtId="0" fontId="7" fillId="0" borderId="10" xfId="0" applyFont="1" applyBorder="1" applyAlignment="1">
      <alignment horizontal="center" vertical="center"/>
    </xf>
    <xf numFmtId="0" fontId="7" fillId="0" borderId="10" xfId="0" applyFont="1" applyBorder="1" applyAlignment="1">
      <alignment horizontal="center"/>
    </xf>
    <xf numFmtId="170" fontId="22" fillId="0" borderId="10" xfId="36" applyNumberFormat="1" applyFont="1" applyFill="1" applyBorder="1" applyAlignment="1">
      <alignment horizontal="center" vertical="center"/>
    </xf>
    <xf numFmtId="0" fontId="17" fillId="0" borderId="0" xfId="36" applyFont="1" applyFill="1" applyProtection="1"/>
    <xf numFmtId="164" fontId="19" fillId="18" borderId="10" xfId="36" applyNumberFormat="1" applyFont="1" applyFill="1" applyBorder="1" applyAlignment="1" applyProtection="1">
      <alignment horizontal="center" vertical="center"/>
    </xf>
    <xf numFmtId="173" fontId="19" fillId="0" borderId="10" xfId="36" applyNumberFormat="1" applyFont="1" applyFill="1" applyBorder="1" applyAlignment="1" applyProtection="1">
      <alignment horizontal="center" vertical="center"/>
      <protection locked="0"/>
    </xf>
    <xf numFmtId="164" fontId="19" fillId="20" borderId="10" xfId="36" applyNumberFormat="1" applyFont="1" applyFill="1" applyBorder="1" applyAlignment="1" applyProtection="1">
      <alignment horizontal="center" vertical="center"/>
      <protection locked="0"/>
    </xf>
    <xf numFmtId="0" fontId="26" fillId="0" borderId="0" xfId="36" applyFont="1" applyFill="1" applyAlignment="1">
      <alignment horizontal="right" vertical="top"/>
    </xf>
    <xf numFmtId="2" fontId="7" fillId="0" borderId="0" xfId="36" applyNumberFormat="1" applyFont="1" applyFill="1"/>
    <xf numFmtId="0" fontId="10" fillId="0" borderId="0" xfId="36" applyFont="1" applyFill="1" applyAlignment="1"/>
    <xf numFmtId="0" fontId="25" fillId="0" borderId="0" xfId="36" applyFont="1" applyFill="1" applyAlignment="1"/>
    <xf numFmtId="0" fontId="17" fillId="0" borderId="0" xfId="36" applyFont="1" applyFill="1" applyBorder="1" applyAlignment="1">
      <alignment horizontal="center" vertical="center" wrapText="1"/>
    </xf>
    <xf numFmtId="0" fontId="17" fillId="0" borderId="10" xfId="36" applyFont="1" applyFill="1" applyBorder="1" applyAlignment="1">
      <alignment horizontal="center" vertical="center" wrapText="1"/>
    </xf>
    <xf numFmtId="0" fontId="17" fillId="22" borderId="10" xfId="36" applyFont="1" applyFill="1" applyBorder="1" applyAlignment="1">
      <alignment horizontal="center" vertical="center" wrapText="1"/>
    </xf>
    <xf numFmtId="0" fontId="17" fillId="0" borderId="0" xfId="36" applyFont="1" applyFill="1" applyAlignment="1">
      <alignment horizontal="center" vertical="center" wrapText="1"/>
    </xf>
    <xf numFmtId="2" fontId="22" fillId="0" borderId="10" xfId="36" applyNumberFormat="1" applyFont="1" applyFill="1" applyBorder="1" applyAlignment="1">
      <alignment horizontal="center" vertical="center"/>
    </xf>
    <xf numFmtId="0" fontId="19" fillId="0" borderId="10" xfId="36" applyFont="1" applyFill="1" applyBorder="1" applyAlignment="1">
      <alignment horizontal="left"/>
    </xf>
    <xf numFmtId="0" fontId="22" fillId="0" borderId="11" xfId="36" applyFont="1" applyFill="1" applyBorder="1" applyAlignment="1">
      <alignment horizontal="center" vertical="center"/>
    </xf>
    <xf numFmtId="0" fontId="19" fillId="0" borderId="10" xfId="36" applyFont="1" applyFill="1" applyBorder="1" applyAlignment="1">
      <alignment horizontal="center" vertical="center"/>
    </xf>
    <xf numFmtId="0" fontId="22" fillId="0" borderId="10" xfId="36" applyFont="1" applyFill="1" applyBorder="1" applyAlignment="1">
      <alignment vertical="center"/>
    </xf>
    <xf numFmtId="1" fontId="22" fillId="0" borderId="10" xfId="36" applyNumberFormat="1" applyFont="1" applyFill="1" applyBorder="1" applyAlignment="1">
      <alignment horizontal="center" vertical="center"/>
    </xf>
    <xf numFmtId="174" fontId="22" fillId="0" borderId="10" xfId="36" applyNumberFormat="1" applyFont="1" applyFill="1" applyBorder="1" applyAlignment="1">
      <alignment horizontal="center" vertical="center"/>
    </xf>
    <xf numFmtId="172" fontId="27" fillId="0" borderId="10" xfId="36" applyNumberFormat="1" applyFont="1" applyFill="1" applyBorder="1" applyAlignment="1">
      <alignment horizontal="center" vertical="center"/>
    </xf>
    <xf numFmtId="0" fontId="17" fillId="0" borderId="10" xfId="36" applyFont="1" applyFill="1" applyBorder="1" applyAlignment="1">
      <alignment horizontal="center" vertical="justify"/>
    </xf>
    <xf numFmtId="170" fontId="28" fillId="21" borderId="10" xfId="36" applyNumberFormat="1" applyFont="1" applyFill="1" applyBorder="1" applyAlignment="1">
      <alignment horizontal="center" vertical="center"/>
    </xf>
    <xf numFmtId="167" fontId="28" fillId="21" borderId="10" xfId="36" applyNumberFormat="1" applyFont="1" applyFill="1" applyBorder="1" applyAlignment="1">
      <alignment horizontal="center" vertical="center" wrapText="1"/>
    </xf>
    <xf numFmtId="2" fontId="28" fillId="21" borderId="10" xfId="36" applyNumberFormat="1" applyFont="1" applyFill="1" applyBorder="1" applyAlignment="1">
      <alignment horizontal="center" vertical="center"/>
    </xf>
    <xf numFmtId="2" fontId="28" fillId="21" borderId="10" xfId="36" applyNumberFormat="1" applyFont="1" applyFill="1" applyBorder="1" applyAlignment="1">
      <alignment horizontal="center" vertical="center" wrapText="1"/>
    </xf>
    <xf numFmtId="0" fontId="28" fillId="21" borderId="10" xfId="36" applyFont="1" applyFill="1" applyBorder="1" applyAlignment="1">
      <alignment horizontal="center" vertical="center" wrapText="1"/>
    </xf>
    <xf numFmtId="0" fontId="19" fillId="21" borderId="10" xfId="36" applyFont="1" applyFill="1" applyBorder="1" applyAlignment="1">
      <alignment horizontal="left"/>
    </xf>
    <xf numFmtId="2" fontId="19" fillId="21" borderId="10" xfId="36" applyNumberFormat="1" applyFont="1" applyFill="1" applyBorder="1" applyAlignment="1">
      <alignment horizontal="center"/>
    </xf>
    <xf numFmtId="0" fontId="17" fillId="0" borderId="10" xfId="36" applyFont="1" applyFill="1" applyBorder="1" applyAlignment="1">
      <alignment vertical="center"/>
    </xf>
    <xf numFmtId="2" fontId="19" fillId="21" borderId="10" xfId="36" applyNumberFormat="1" applyFont="1" applyFill="1" applyBorder="1" applyAlignment="1">
      <alignment horizontal="center" vertical="center"/>
    </xf>
    <xf numFmtId="0" fontId="19" fillId="0" borderId="34" xfId="36" applyFont="1" applyFill="1" applyBorder="1" applyAlignment="1">
      <alignment horizontal="left"/>
    </xf>
    <xf numFmtId="0" fontId="19" fillId="0" borderId="17" xfId="36" applyFont="1" applyFill="1" applyBorder="1" applyAlignment="1">
      <alignment horizontal="left"/>
    </xf>
    <xf numFmtId="0" fontId="22" fillId="0" borderId="10" xfId="65" applyFont="1" applyFill="1" applyBorder="1" applyAlignment="1">
      <alignment horizontal="center" vertical="center" wrapText="1"/>
    </xf>
    <xf numFmtId="0" fontId="19" fillId="21" borderId="10" xfId="36" applyFont="1" applyFill="1" applyBorder="1" applyAlignment="1">
      <alignment horizontal="center" vertical="center"/>
    </xf>
    <xf numFmtId="0" fontId="22" fillId="0" borderId="11" xfId="36" applyFont="1" applyFill="1" applyBorder="1" applyAlignment="1">
      <alignment vertical="center"/>
    </xf>
    <xf numFmtId="0" fontId="21" fillId="0" borderId="10" xfId="36" applyFont="1" applyFill="1" applyBorder="1" applyAlignment="1">
      <alignment horizontal="center" vertical="center"/>
    </xf>
    <xf numFmtId="0" fontId="27" fillId="0" borderId="18" xfId="36" applyFont="1" applyFill="1" applyBorder="1" applyAlignment="1">
      <alignment horizontal="center" vertical="center"/>
    </xf>
    <xf numFmtId="2" fontId="22" fillId="0" borderId="10" xfId="51" applyNumberFormat="1" applyFont="1" applyBorder="1" applyAlignment="1">
      <alignment horizontal="center" vertical="center"/>
    </xf>
    <xf numFmtId="0" fontId="22" fillId="0" borderId="10" xfId="51" applyFont="1" applyFill="1" applyBorder="1" applyAlignment="1">
      <alignment horizontal="center" vertical="center"/>
    </xf>
    <xf numFmtId="2" fontId="21" fillId="0" borderId="10" xfId="36" applyNumberFormat="1" applyFont="1" applyFill="1" applyBorder="1" applyAlignment="1">
      <alignment horizontal="center"/>
    </xf>
    <xf numFmtId="0" fontId="22" fillId="0" borderId="10" xfId="36" applyFont="1" applyFill="1" applyBorder="1" applyAlignment="1">
      <alignment horizontal="center"/>
    </xf>
    <xf numFmtId="2" fontId="22" fillId="0" borderId="10" xfId="36" applyNumberFormat="1" applyFont="1" applyFill="1" applyBorder="1" applyAlignment="1">
      <alignment horizontal="center"/>
    </xf>
    <xf numFmtId="0" fontId="27" fillId="0" borderId="18" xfId="36" applyNumberFormat="1" applyFont="1" applyFill="1" applyBorder="1" applyAlignment="1">
      <alignment horizontal="center"/>
    </xf>
    <xf numFmtId="0" fontId="17" fillId="20" borderId="10" xfId="51" applyFont="1" applyFill="1" applyBorder="1" applyAlignment="1">
      <alignment wrapText="1"/>
    </xf>
    <xf numFmtId="0" fontId="27" fillId="0" borderId="10" xfId="51" applyFont="1" applyFill="1" applyBorder="1" applyAlignment="1">
      <alignment horizontal="center" vertical="center"/>
    </xf>
    <xf numFmtId="0" fontId="19" fillId="0" borderId="10" xfId="36" applyFont="1" applyFill="1" applyBorder="1" applyAlignment="1">
      <alignment horizontal="center"/>
    </xf>
    <xf numFmtId="0" fontId="22" fillId="0" borderId="10" xfId="36" applyFont="1" applyFill="1" applyBorder="1" applyAlignment="1">
      <alignment horizontal="center" vertical="center" wrapText="1"/>
    </xf>
    <xf numFmtId="0" fontId="27" fillId="0" borderId="18" xfId="36" applyNumberFormat="1" applyFont="1" applyFill="1" applyBorder="1" applyAlignment="1">
      <alignment horizontal="center" vertical="center"/>
    </xf>
    <xf numFmtId="2" fontId="22" fillId="0" borderId="10" xfId="51" applyNumberFormat="1" applyFont="1" applyFill="1" applyBorder="1" applyAlignment="1">
      <alignment horizontal="center" vertical="center"/>
    </xf>
    <xf numFmtId="0" fontId="27" fillId="0" borderId="10" xfId="36" applyFont="1" applyFill="1" applyBorder="1" applyAlignment="1">
      <alignment horizontal="center"/>
    </xf>
    <xf numFmtId="0" fontId="17" fillId="20" borderId="10" xfId="51" applyFont="1" applyFill="1" applyBorder="1" applyAlignment="1">
      <alignment vertical="justify"/>
    </xf>
    <xf numFmtId="2" fontId="21" fillId="0" borderId="10" xfId="36" applyNumberFormat="1" applyFont="1" applyFill="1" applyBorder="1" applyAlignment="1">
      <alignment horizontal="center" vertical="center" wrapText="1"/>
    </xf>
    <xf numFmtId="0" fontId="21" fillId="0" borderId="10" xfId="36" applyFont="1" applyFill="1" applyBorder="1" applyAlignment="1">
      <alignment horizontal="center"/>
    </xf>
    <xf numFmtId="0" fontId="17" fillId="20" borderId="10" xfId="36" applyFont="1" applyFill="1" applyBorder="1" applyAlignment="1">
      <alignment horizontal="left"/>
    </xf>
    <xf numFmtId="167" fontId="28" fillId="21" borderId="10" xfId="36" applyNumberFormat="1" applyFont="1" applyFill="1" applyBorder="1" applyAlignment="1">
      <alignment horizontal="center" vertical="center"/>
    </xf>
    <xf numFmtId="167" fontId="19" fillId="25" borderId="10" xfId="36" applyNumberFormat="1" applyFont="1" applyFill="1" applyBorder="1" applyAlignment="1">
      <alignment horizontal="center" vertical="center"/>
    </xf>
    <xf numFmtId="0" fontId="19" fillId="25" borderId="10" xfId="36" applyFont="1" applyFill="1" applyBorder="1" applyAlignment="1">
      <alignment horizontal="center" vertical="center" wrapText="1"/>
    </xf>
    <xf numFmtId="10" fontId="46" fillId="0" borderId="0" xfId="36" applyNumberFormat="1" applyFont="1" applyFill="1" applyAlignment="1">
      <alignment horizontal="center" vertical="center" wrapText="1"/>
    </xf>
    <xf numFmtId="164" fontId="19" fillId="21" borderId="10" xfId="34" applyNumberFormat="1" applyFont="1" applyFill="1" applyBorder="1" applyAlignment="1" applyProtection="1">
      <alignment horizontal="center" vertical="center" wrapText="1"/>
    </xf>
    <xf numFmtId="1" fontId="19" fillId="21" borderId="10" xfId="66" applyNumberFormat="1" applyFont="1" applyFill="1" applyBorder="1" applyAlignment="1" applyProtection="1">
      <alignment horizontal="center" vertical="center"/>
    </xf>
    <xf numFmtId="1" fontId="17" fillId="20" borderId="10" xfId="66" applyNumberFormat="1" applyFont="1" applyFill="1" applyBorder="1" applyAlignment="1" applyProtection="1">
      <alignment horizontal="center" vertical="center"/>
    </xf>
    <xf numFmtId="1" fontId="17" fillId="0" borderId="10" xfId="66" applyNumberFormat="1" applyFont="1" applyBorder="1" applyAlignment="1" applyProtection="1">
      <alignment horizontal="center" vertical="center"/>
    </xf>
    <xf numFmtId="0" fontId="16" fillId="0" borderId="0" xfId="36" applyFont="1" applyFill="1" applyAlignment="1">
      <alignment horizontal="center"/>
    </xf>
    <xf numFmtId="0" fontId="0" fillId="0" borderId="0" xfId="36" applyFont="1" applyAlignment="1" applyProtection="1">
      <alignment horizontal="center" vertical="center"/>
    </xf>
    <xf numFmtId="0" fontId="17" fillId="0" borderId="10" xfId="36" applyFont="1" applyBorder="1" applyAlignment="1" applyProtection="1">
      <alignment horizontal="center" vertical="center" wrapText="1"/>
    </xf>
    <xf numFmtId="0" fontId="19" fillId="21" borderId="10" xfId="36" applyFont="1" applyFill="1" applyBorder="1" applyAlignment="1" applyProtection="1">
      <alignment horizontal="center" vertical="center"/>
    </xf>
    <xf numFmtId="0" fontId="19" fillId="21" borderId="10" xfId="36" applyNumberFormat="1" applyFont="1" applyFill="1" applyBorder="1" applyAlignment="1" applyProtection="1">
      <alignment horizontal="left" vertical="center" wrapText="1"/>
    </xf>
    <xf numFmtId="49" fontId="17" fillId="0" borderId="10" xfId="36" applyNumberFormat="1" applyFont="1" applyBorder="1" applyAlignment="1" applyProtection="1">
      <alignment horizontal="center" vertical="center"/>
    </xf>
    <xf numFmtId="0" fontId="17" fillId="0" borderId="10" xfId="36" applyNumberFormat="1" applyFont="1" applyBorder="1" applyAlignment="1" applyProtection="1">
      <alignment horizontal="left" vertical="center" wrapText="1"/>
    </xf>
    <xf numFmtId="49" fontId="22" fillId="0" borderId="10" xfId="36" applyNumberFormat="1" applyFont="1" applyBorder="1" applyAlignment="1" applyProtection="1">
      <alignment horizontal="center" vertical="center"/>
    </xf>
    <xf numFmtId="0" fontId="22" fillId="0" borderId="10" xfId="36" applyNumberFormat="1" applyFont="1" applyBorder="1" applyAlignment="1" applyProtection="1">
      <alignment horizontal="left" vertical="center" wrapText="1"/>
    </xf>
    <xf numFmtId="0" fontId="27" fillId="0" borderId="10" xfId="36" applyNumberFormat="1" applyFont="1" applyBorder="1" applyAlignment="1" applyProtection="1">
      <alignment horizontal="left" vertical="center" wrapText="1"/>
    </xf>
    <xf numFmtId="0" fontId="7" fillId="0" borderId="0" xfId="36" applyNumberFormat="1" applyFont="1" applyAlignment="1" applyProtection="1">
      <alignment horizontal="center" vertical="center"/>
    </xf>
    <xf numFmtId="0" fontId="0" fillId="0" borderId="0" xfId="36" applyNumberFormat="1" applyFont="1" applyAlignment="1" applyProtection="1">
      <alignment horizontal="center" vertical="center"/>
    </xf>
    <xf numFmtId="2" fontId="50" fillId="0" borderId="0" xfId="34" applyNumberFormat="1" applyFont="1" applyFill="1" applyProtection="1"/>
    <xf numFmtId="2" fontId="19" fillId="0" borderId="10" xfId="36" applyNumberFormat="1" applyFont="1" applyFill="1" applyBorder="1" applyAlignment="1" applyProtection="1">
      <alignment horizontal="center" vertical="center" wrapText="1" readingOrder="1"/>
      <protection locked="0"/>
    </xf>
    <xf numFmtId="4" fontId="22" fillId="0" borderId="10" xfId="36" applyNumberFormat="1" applyFont="1" applyFill="1" applyBorder="1" applyAlignment="1">
      <alignment horizontal="center" vertical="center"/>
    </xf>
    <xf numFmtId="2" fontId="17" fillId="0" borderId="17" xfId="36" applyNumberFormat="1" applyFont="1" applyFill="1" applyBorder="1" applyAlignment="1" applyProtection="1">
      <alignment horizontal="center" vertical="center" wrapText="1"/>
    </xf>
    <xf numFmtId="175" fontId="17" fillId="0" borderId="10" xfId="36" applyNumberFormat="1" applyFont="1" applyFill="1" applyBorder="1" applyAlignment="1" applyProtection="1">
      <alignment horizontal="center" vertical="center"/>
      <protection locked="0"/>
    </xf>
    <xf numFmtId="2" fontId="17" fillId="0" borderId="10" xfId="36" applyNumberFormat="1" applyFont="1" applyFill="1" applyBorder="1" applyAlignment="1" applyProtection="1">
      <alignment horizontal="center" vertical="center"/>
    </xf>
    <xf numFmtId="49" fontId="17" fillId="0" borderId="10" xfId="36" applyNumberFormat="1" applyFont="1" applyFill="1" applyBorder="1" applyAlignment="1" applyProtection="1">
      <alignment horizontal="center" vertical="center"/>
    </xf>
    <xf numFmtId="171" fontId="17" fillId="0" borderId="10" xfId="36" applyNumberFormat="1" applyFont="1" applyFill="1" applyBorder="1" applyAlignment="1" applyProtection="1">
      <alignment horizontal="center" vertical="center"/>
    </xf>
    <xf numFmtId="176" fontId="38" fillId="0" borderId="0" xfId="36" applyNumberFormat="1" applyFont="1" applyFill="1"/>
    <xf numFmtId="177" fontId="17" fillId="0" borderId="0" xfId="36" applyNumberFormat="1" applyFont="1" applyFill="1" applyProtection="1"/>
    <xf numFmtId="3" fontId="17" fillId="0" borderId="10" xfId="36" applyNumberFormat="1" applyFont="1" applyFill="1" applyBorder="1" applyAlignment="1" applyProtection="1">
      <alignment horizontal="center" vertical="center" wrapText="1"/>
      <protection locked="0"/>
    </xf>
    <xf numFmtId="2" fontId="17" fillId="20" borderId="10" xfId="36" applyNumberFormat="1" applyFont="1" applyFill="1" applyBorder="1" applyAlignment="1" applyProtection="1">
      <alignment horizontal="center" vertical="center" wrapText="1"/>
    </xf>
    <xf numFmtId="49" fontId="22" fillId="0" borderId="10" xfId="36" applyNumberFormat="1" applyFont="1" applyFill="1" applyBorder="1" applyAlignment="1">
      <alignment horizontal="center" vertical="center"/>
    </xf>
    <xf numFmtId="0" fontId="17" fillId="20" borderId="18" xfId="65" applyFont="1" applyFill="1" applyBorder="1" applyAlignment="1">
      <alignment vertical="center" wrapText="1"/>
    </xf>
    <xf numFmtId="2" fontId="27" fillId="0" borderId="10" xfId="36" applyNumberFormat="1" applyFont="1" applyFill="1" applyBorder="1" applyAlignment="1">
      <alignment horizontal="center" vertical="center"/>
    </xf>
    <xf numFmtId="2" fontId="51" fillId="0" borderId="10" xfId="36" applyNumberFormat="1" applyFont="1" applyFill="1" applyBorder="1" applyAlignment="1">
      <alignment horizontal="center" vertical="center"/>
    </xf>
    <xf numFmtId="0" fontId="51" fillId="0" borderId="10" xfId="36" applyFont="1" applyFill="1" applyBorder="1" applyAlignment="1">
      <alignment horizontal="center" vertical="center"/>
    </xf>
    <xf numFmtId="3" fontId="22" fillId="0" borderId="10" xfId="36" applyNumberFormat="1" applyFont="1" applyFill="1" applyBorder="1" applyAlignment="1">
      <alignment horizontal="center" vertical="center"/>
    </xf>
    <xf numFmtId="0" fontId="22" fillId="0" borderId="10" xfId="36" applyNumberFormat="1" applyFont="1" applyFill="1" applyBorder="1" applyAlignment="1">
      <alignment horizontal="center" vertical="center"/>
    </xf>
    <xf numFmtId="0" fontId="27" fillId="0" borderId="10" xfId="36" applyFont="1" applyFill="1" applyBorder="1" applyAlignment="1">
      <alignment horizontal="center" vertical="justify"/>
    </xf>
    <xf numFmtId="1" fontId="17" fillId="0" borderId="10" xfId="36" applyNumberFormat="1" applyFont="1" applyFill="1" applyBorder="1" applyAlignment="1" applyProtection="1">
      <alignment horizontal="center" vertical="center"/>
      <protection locked="0"/>
    </xf>
    <xf numFmtId="1" fontId="19" fillId="0" borderId="10" xfId="36" applyNumberFormat="1" applyFont="1" applyFill="1" applyBorder="1" applyAlignment="1" applyProtection="1">
      <alignment horizontal="center" vertical="center"/>
      <protection locked="0"/>
    </xf>
    <xf numFmtId="1" fontId="17" fillId="19" borderId="10" xfId="36" applyNumberFormat="1" applyFont="1" applyFill="1" applyBorder="1" applyAlignment="1" applyProtection="1">
      <alignment horizontal="center" vertical="center"/>
      <protection locked="0"/>
    </xf>
    <xf numFmtId="1" fontId="17" fillId="0" borderId="10" xfId="36" applyNumberFormat="1" applyFont="1" applyFill="1" applyBorder="1" applyAlignment="1" applyProtection="1">
      <alignment horizontal="center" vertical="center"/>
    </xf>
    <xf numFmtId="1" fontId="7" fillId="0" borderId="10" xfId="36" applyNumberFormat="1" applyFont="1" applyFill="1" applyBorder="1" applyAlignment="1" applyProtection="1">
      <alignment horizontal="center" vertical="center"/>
    </xf>
    <xf numFmtId="1" fontId="7" fillId="0" borderId="10" xfId="36" applyNumberFormat="1" applyFont="1" applyBorder="1" applyAlignment="1" applyProtection="1">
      <alignment horizontal="center" vertical="center"/>
    </xf>
    <xf numFmtId="1" fontId="19" fillId="21" borderId="10" xfId="36" applyNumberFormat="1" applyFont="1" applyFill="1" applyBorder="1" applyAlignment="1" applyProtection="1">
      <alignment horizontal="center" vertical="center"/>
      <protection locked="0"/>
    </xf>
    <xf numFmtId="0" fontId="7" fillId="0" borderId="0" xfId="35" applyFont="1" applyFill="1"/>
    <xf numFmtId="0" fontId="10" fillId="0" borderId="0" xfId="35" applyFont="1" applyAlignment="1"/>
    <xf numFmtId="0" fontId="10" fillId="0" borderId="0" xfId="35" applyFont="1" applyAlignment="1">
      <alignment horizontal="left" indent="4"/>
    </xf>
    <xf numFmtId="0" fontId="7" fillId="0" borderId="0" xfId="35" applyFont="1" applyProtection="1"/>
    <xf numFmtId="0" fontId="0" fillId="0" borderId="0" xfId="35" applyFont="1" applyFill="1"/>
    <xf numFmtId="0" fontId="3" fillId="0" borderId="0" xfId="35" applyFont="1" applyAlignment="1">
      <alignment vertical="center" wrapText="1"/>
    </xf>
    <xf numFmtId="0" fontId="3" fillId="0" borderId="0" xfId="35" applyFont="1" applyAlignment="1">
      <alignment horizontal="center" vertical="center" wrapText="1"/>
    </xf>
    <xf numFmtId="0" fontId="17" fillId="0" borderId="10" xfId="35" applyFont="1" applyFill="1" applyBorder="1" applyAlignment="1">
      <alignment horizontal="center" vertical="center" wrapText="1"/>
    </xf>
    <xf numFmtId="0" fontId="69" fillId="0" borderId="10" xfId="35" applyFont="1" applyFill="1" applyBorder="1" applyAlignment="1">
      <alignment horizontal="center" vertical="center" textRotation="90" wrapText="1"/>
    </xf>
    <xf numFmtId="0" fontId="17" fillId="22" borderId="10" xfId="35" applyFont="1" applyFill="1" applyBorder="1" applyAlignment="1">
      <alignment horizontal="center" vertical="center" wrapText="1"/>
    </xf>
    <xf numFmtId="0" fontId="17" fillId="22" borderId="13" xfId="35" applyFont="1" applyFill="1" applyBorder="1" applyAlignment="1">
      <alignment horizontal="center" vertical="center" wrapText="1"/>
    </xf>
    <xf numFmtId="0" fontId="70" fillId="20" borderId="10" xfId="36" applyFont="1" applyFill="1" applyBorder="1"/>
    <xf numFmtId="0" fontId="70" fillId="20" borderId="10" xfId="36" applyFont="1" applyFill="1" applyBorder="1" applyAlignment="1">
      <alignment horizontal="left"/>
    </xf>
    <xf numFmtId="0" fontId="38" fillId="20" borderId="10" xfId="36" applyFont="1" applyFill="1" applyBorder="1"/>
    <xf numFmtId="0" fontId="38" fillId="20" borderId="10" xfId="36" applyFont="1" applyFill="1" applyBorder="1" applyAlignment="1">
      <alignment horizontal="center"/>
    </xf>
    <xf numFmtId="0" fontId="70" fillId="0" borderId="10" xfId="36" applyFont="1" applyFill="1" applyBorder="1" applyAlignment="1">
      <alignment horizontal="left"/>
    </xf>
    <xf numFmtId="49" fontId="7" fillId="0" borderId="10" xfId="36" applyNumberFormat="1" applyFont="1" applyFill="1" applyBorder="1" applyAlignment="1">
      <alignment wrapText="1"/>
    </xf>
    <xf numFmtId="0" fontId="38" fillId="0" borderId="10" xfId="36" applyFont="1" applyFill="1" applyBorder="1"/>
    <xf numFmtId="0" fontId="7" fillId="0" borderId="10" xfId="36" applyFont="1" applyFill="1" applyBorder="1"/>
    <xf numFmtId="49" fontId="7" fillId="20" borderId="10" xfId="36" applyNumberFormat="1" applyFont="1" applyFill="1" applyBorder="1" applyAlignment="1">
      <alignment wrapText="1"/>
    </xf>
    <xf numFmtId="0" fontId="70" fillId="0" borderId="0" xfId="36" applyFont="1" applyFill="1" applyAlignment="1">
      <alignment horizontal="left"/>
    </xf>
    <xf numFmtId="0" fontId="16" fillId="0" borderId="0" xfId="35" applyFont="1" applyFill="1" applyAlignment="1">
      <alignment horizontal="center"/>
    </xf>
    <xf numFmtId="0" fontId="17" fillId="18" borderId="10" xfId="35" applyFont="1" applyFill="1" applyBorder="1" applyAlignment="1">
      <alignment horizontal="center" vertical="center" wrapText="1"/>
    </xf>
    <xf numFmtId="0" fontId="17" fillId="0" borderId="10" xfId="35" applyFont="1" applyFill="1" applyBorder="1" applyAlignment="1">
      <alignment horizontal="left"/>
    </xf>
    <xf numFmtId="2" fontId="17" fillId="0" borderId="10" xfId="35" applyNumberFormat="1" applyFont="1" applyBorder="1" applyAlignment="1">
      <alignment horizontal="center" vertical="center" wrapText="1"/>
    </xf>
    <xf numFmtId="2" fontId="17" fillId="0" borderId="10" xfId="35" applyNumberFormat="1" applyFont="1" applyFill="1" applyBorder="1" applyAlignment="1">
      <alignment horizontal="center" vertical="center" wrapText="1"/>
    </xf>
    <xf numFmtId="0" fontId="7" fillId="0" borderId="0" xfId="35" applyFont="1" applyAlignment="1">
      <alignment vertical="center" wrapText="1"/>
    </xf>
    <xf numFmtId="1" fontId="32" fillId="18" borderId="10" xfId="36" applyNumberFormat="1" applyFont="1" applyFill="1" applyBorder="1" applyAlignment="1" applyProtection="1">
      <alignment horizontal="center" vertical="center" wrapText="1"/>
    </xf>
    <xf numFmtId="2" fontId="43" fillId="18" borderId="10" xfId="36" applyNumberFormat="1" applyFont="1" applyFill="1" applyBorder="1" applyAlignment="1" applyProtection="1">
      <alignment horizontal="center" vertical="center" wrapText="1"/>
    </xf>
    <xf numFmtId="1" fontId="32" fillId="18" borderId="13" xfId="36" applyNumberFormat="1" applyFont="1" applyFill="1" applyBorder="1" applyAlignment="1" applyProtection="1">
      <alignment horizontal="center" vertical="center" wrapText="1"/>
    </xf>
    <xf numFmtId="0" fontId="17" fillId="0" borderId="10" xfId="34" applyFont="1" applyFill="1" applyBorder="1" applyAlignment="1" applyProtection="1">
      <alignment horizontal="center" vertical="center" wrapText="1"/>
      <protection locked="0"/>
    </xf>
    <xf numFmtId="0" fontId="42" fillId="0" borderId="10" xfId="40" applyFont="1" applyFill="1" applyBorder="1" applyAlignment="1">
      <alignment horizontal="center" vertical="center" wrapText="1"/>
    </xf>
    <xf numFmtId="0" fontId="49" fillId="0" borderId="10" xfId="41" applyFont="1" applyFill="1" applyBorder="1" applyAlignment="1">
      <alignment horizontal="left" vertical="center" wrapText="1"/>
    </xf>
    <xf numFmtId="0" fontId="21" fillId="0" borderId="10" xfId="65" applyFont="1" applyFill="1" applyBorder="1" applyAlignment="1">
      <alignment horizontal="left" wrapText="1"/>
    </xf>
    <xf numFmtId="0" fontId="20" fillId="22" borderId="10" xfId="34" applyFont="1" applyFill="1" applyBorder="1" applyAlignment="1" applyProtection="1">
      <alignment horizontal="center" vertical="center"/>
    </xf>
    <xf numFmtId="0" fontId="20" fillId="22" borderId="11" xfId="34" applyFont="1" applyFill="1" applyBorder="1" applyAlignment="1" applyProtection="1">
      <alignment horizontal="center" vertical="center"/>
    </xf>
    <xf numFmtId="0" fontId="11" fillId="25" borderId="45" xfId="34" applyNumberFormat="1" applyFont="1" applyFill="1" applyBorder="1" applyAlignment="1" applyProtection="1">
      <alignment horizontal="center" vertical="center"/>
    </xf>
    <xf numFmtId="0" fontId="11" fillId="25" borderId="40" xfId="34" applyNumberFormat="1" applyFont="1" applyFill="1" applyBorder="1" applyAlignment="1" applyProtection="1">
      <alignment horizontal="center" vertical="center"/>
    </xf>
    <xf numFmtId="0" fontId="11" fillId="25" borderId="38" xfId="34" applyNumberFormat="1" applyFont="1" applyFill="1" applyBorder="1" applyAlignment="1" applyProtection="1">
      <alignment horizontal="center" vertical="center"/>
    </xf>
    <xf numFmtId="14" fontId="11" fillId="25" borderId="45" xfId="34" applyNumberFormat="1" applyFont="1" applyFill="1" applyBorder="1" applyAlignment="1" applyProtection="1">
      <alignment horizontal="center" vertical="center"/>
    </xf>
    <xf numFmtId="14" fontId="11" fillId="25" borderId="38" xfId="34" applyNumberFormat="1" applyFont="1" applyFill="1" applyBorder="1" applyAlignment="1" applyProtection="1">
      <alignment horizontal="center" vertical="center"/>
    </xf>
    <xf numFmtId="0" fontId="10" fillId="0" borderId="0" xfId="34" applyFont="1" applyFill="1" applyAlignment="1">
      <alignment horizontal="left"/>
    </xf>
    <xf numFmtId="0" fontId="10" fillId="0" borderId="0" xfId="34" applyFont="1" applyAlignment="1"/>
    <xf numFmtId="0" fontId="17" fillId="0" borderId="0" xfId="36" applyFont="1" applyAlignment="1">
      <alignment horizontal="center"/>
    </xf>
    <xf numFmtId="0" fontId="31" fillId="0" borderId="0" xfId="36" applyFont="1" applyAlignment="1">
      <alignment horizontal="left"/>
    </xf>
    <xf numFmtId="0" fontId="10" fillId="0" borderId="0" xfId="34" applyFont="1" applyFill="1" applyAlignment="1">
      <alignment horizontal="right"/>
    </xf>
    <xf numFmtId="0" fontId="18" fillId="22" borderId="10" xfId="34" applyFont="1" applyFill="1" applyBorder="1" applyAlignment="1">
      <alignment horizontal="center" vertical="center"/>
    </xf>
    <xf numFmtId="0" fontId="19" fillId="21" borderId="18" xfId="34" applyFont="1" applyFill="1" applyBorder="1" applyAlignment="1">
      <alignment horizontal="center" vertical="center" wrapText="1"/>
    </xf>
    <xf numFmtId="0" fontId="19" fillId="21" borderId="17" xfId="34" applyFont="1" applyFill="1" applyBorder="1" applyAlignment="1">
      <alignment horizontal="center" vertical="center" wrapText="1"/>
    </xf>
    <xf numFmtId="0" fontId="18" fillId="0" borderId="18" xfId="34" applyFont="1" applyFill="1" applyBorder="1" applyAlignment="1">
      <alignment horizontal="center" vertical="center"/>
    </xf>
    <xf numFmtId="0" fontId="7" fillId="0" borderId="34" xfId="34" applyFont="1" applyFill="1" applyBorder="1" applyAlignment="1">
      <alignment horizontal="center" vertical="center"/>
    </xf>
    <xf numFmtId="0" fontId="7" fillId="0" borderId="17" xfId="34" applyFont="1" applyFill="1" applyBorder="1" applyAlignment="1">
      <alignment horizontal="center" vertical="center"/>
    </xf>
    <xf numFmtId="0" fontId="17" fillId="0" borderId="10" xfId="36" applyFont="1" applyBorder="1" applyAlignment="1" applyProtection="1">
      <alignment horizontal="center" vertical="center" wrapText="1"/>
    </xf>
    <xf numFmtId="0" fontId="10" fillId="0" borderId="0" xfId="36" applyFont="1" applyFill="1" applyAlignment="1">
      <alignment horizontal="right"/>
    </xf>
    <xf numFmtId="0" fontId="18" fillId="22" borderId="18" xfId="36" applyFont="1" applyFill="1" applyBorder="1" applyAlignment="1" applyProtection="1">
      <alignment horizontal="center" vertical="center" wrapText="1"/>
    </xf>
    <xf numFmtId="0" fontId="18" fillId="22" borderId="34" xfId="36" applyFont="1" applyFill="1" applyBorder="1" applyAlignment="1" applyProtection="1">
      <alignment horizontal="center" vertical="center" wrapText="1"/>
    </xf>
    <xf numFmtId="0" fontId="18" fillId="22" borderId="17" xfId="36" applyFont="1" applyFill="1" applyBorder="1" applyAlignment="1" applyProtection="1">
      <alignment horizontal="center" vertical="center" wrapText="1"/>
    </xf>
    <xf numFmtId="0" fontId="18" fillId="22" borderId="18" xfId="34" applyFont="1" applyFill="1" applyBorder="1" applyAlignment="1" applyProtection="1">
      <alignment horizontal="center" vertical="center" wrapText="1"/>
    </xf>
    <xf numFmtId="0" fontId="18" fillId="22" borderId="34" xfId="34" applyFont="1" applyFill="1" applyBorder="1" applyAlignment="1" applyProtection="1">
      <alignment horizontal="center" vertical="center" wrapText="1"/>
    </xf>
    <xf numFmtId="0" fontId="18" fillId="22" borderId="17" xfId="34" applyFont="1" applyFill="1" applyBorder="1" applyAlignment="1" applyProtection="1">
      <alignment horizontal="center" vertical="center" wrapText="1"/>
    </xf>
    <xf numFmtId="0" fontId="18" fillId="22" borderId="10" xfId="34" applyFont="1" applyFill="1" applyBorder="1" applyAlignment="1" applyProtection="1">
      <alignment horizontal="center" vertical="center"/>
    </xf>
    <xf numFmtId="0" fontId="17" fillId="0" borderId="10" xfId="34" applyFont="1" applyFill="1" applyBorder="1" applyAlignment="1" applyProtection="1">
      <alignment horizontal="center" vertical="center" wrapText="1"/>
    </xf>
    <xf numFmtId="0" fontId="17" fillId="0" borderId="10" xfId="36" applyFont="1" applyFill="1" applyBorder="1" applyAlignment="1" applyProtection="1">
      <alignment horizontal="center" vertical="center" wrapText="1"/>
    </xf>
    <xf numFmtId="0" fontId="17" fillId="0" borderId="11" xfId="66" applyFont="1" applyFill="1" applyBorder="1" applyAlignment="1" applyProtection="1">
      <alignment horizontal="center" vertical="center" wrapText="1"/>
    </xf>
    <xf numFmtId="0" fontId="17" fillId="0" borderId="61" xfId="66" applyFont="1" applyFill="1" applyBorder="1" applyAlignment="1" applyProtection="1">
      <alignment horizontal="center" vertical="center" wrapText="1"/>
    </xf>
    <xf numFmtId="0" fontId="17" fillId="0" borderId="13" xfId="66" applyFont="1" applyFill="1" applyBorder="1" applyAlignment="1" applyProtection="1">
      <alignment horizontal="center" vertical="center" wrapText="1"/>
    </xf>
    <xf numFmtId="0" fontId="17" fillId="0" borderId="10" xfId="66" applyFont="1" applyFill="1" applyBorder="1" applyAlignment="1" applyProtection="1">
      <alignment horizontal="center" vertical="center" wrapText="1"/>
    </xf>
    <xf numFmtId="0" fontId="17" fillId="0" borderId="0" xfId="34" applyFont="1" applyAlignment="1" applyProtection="1">
      <alignment horizontal="justify" vertical="top" wrapText="1"/>
    </xf>
    <xf numFmtId="0" fontId="17" fillId="0" borderId="12" xfId="34" applyFont="1" applyFill="1" applyBorder="1" applyProtection="1"/>
    <xf numFmtId="10" fontId="7" fillId="20" borderId="18" xfId="66" applyNumberFormat="1" applyFont="1" applyFill="1" applyBorder="1" applyAlignment="1" applyProtection="1">
      <alignment horizontal="center" vertical="center"/>
    </xf>
    <xf numFmtId="10" fontId="7" fillId="20" borderId="17" xfId="66" applyNumberFormat="1" applyFont="1" applyFill="1" applyBorder="1" applyAlignment="1" applyProtection="1">
      <alignment horizontal="center" vertical="center"/>
    </xf>
    <xf numFmtId="0" fontId="18" fillId="22" borderId="10" xfId="34" applyFont="1" applyFill="1" applyBorder="1" applyAlignment="1" applyProtection="1">
      <alignment horizontal="center" vertical="center" wrapText="1"/>
    </xf>
    <xf numFmtId="0" fontId="16" fillId="22" borderId="10" xfId="34" applyFont="1" applyFill="1" applyBorder="1" applyAlignment="1" applyProtection="1">
      <alignment horizontal="center" vertical="center" wrapText="1"/>
    </xf>
    <xf numFmtId="0" fontId="17" fillId="0" borderId="25" xfId="34" applyFont="1" applyFill="1" applyBorder="1" applyAlignment="1" applyProtection="1">
      <alignment horizontal="center" vertical="center" wrapText="1"/>
      <protection locked="0"/>
    </xf>
    <xf numFmtId="0" fontId="17" fillId="0" borderId="12" xfId="34" applyFont="1" applyFill="1" applyBorder="1" applyAlignment="1" applyProtection="1">
      <alignment horizontal="center" vertical="center" wrapText="1"/>
      <protection locked="0"/>
    </xf>
    <xf numFmtId="0" fontId="17" fillId="0" borderId="10" xfId="34" applyFont="1" applyFill="1" applyBorder="1" applyAlignment="1" applyProtection="1">
      <alignment horizontal="center" vertical="center" wrapText="1"/>
      <protection locked="0"/>
    </xf>
    <xf numFmtId="0" fontId="17" fillId="0" borderId="11" xfId="34" applyFont="1" applyFill="1" applyBorder="1" applyAlignment="1" applyProtection="1">
      <alignment horizontal="center" vertical="top" wrapText="1"/>
    </xf>
    <xf numFmtId="0" fontId="17" fillId="0" borderId="61" xfId="34" applyFont="1" applyFill="1" applyBorder="1" applyAlignment="1" applyProtection="1">
      <alignment horizontal="center" vertical="top" wrapText="1"/>
    </xf>
    <xf numFmtId="0" fontId="17" fillId="0" borderId="13" xfId="34" applyFont="1" applyFill="1" applyBorder="1" applyAlignment="1" applyProtection="1">
      <alignment horizontal="center" vertical="top" wrapText="1"/>
    </xf>
    <xf numFmtId="0" fontId="17" fillId="22" borderId="18" xfId="34" applyFont="1" applyFill="1" applyBorder="1" applyAlignment="1" applyProtection="1">
      <alignment horizontal="center" vertical="center" wrapText="1"/>
    </xf>
    <xf numFmtId="0" fontId="17" fillId="22" borderId="34" xfId="34" applyFont="1" applyFill="1" applyBorder="1" applyAlignment="1" applyProtection="1">
      <alignment horizontal="center" vertical="center" wrapText="1"/>
    </xf>
    <xf numFmtId="0" fontId="17" fillId="22" borderId="17" xfId="34" applyFont="1" applyFill="1" applyBorder="1" applyAlignment="1" applyProtection="1">
      <alignment horizontal="center" vertical="center" wrapText="1"/>
    </xf>
    <xf numFmtId="0" fontId="17" fillId="0" borderId="11" xfId="34" applyFont="1" applyFill="1" applyBorder="1" applyAlignment="1" applyProtection="1">
      <alignment horizontal="center" vertical="center"/>
    </xf>
    <xf numFmtId="0" fontId="17" fillId="0" borderId="13" xfId="34" applyFont="1" applyFill="1" applyBorder="1" applyAlignment="1" applyProtection="1">
      <alignment horizontal="center" vertical="center"/>
    </xf>
    <xf numFmtId="1" fontId="32" fillId="20" borderId="11" xfId="66" applyNumberFormat="1" applyFont="1" applyFill="1" applyBorder="1" applyAlignment="1" applyProtection="1">
      <alignment horizontal="center" vertical="center"/>
    </xf>
    <xf numFmtId="1" fontId="32" fillId="20" borderId="13" xfId="66" applyNumberFormat="1" applyFont="1" applyFill="1" applyBorder="1" applyAlignment="1" applyProtection="1">
      <alignment horizontal="center" vertical="center"/>
    </xf>
    <xf numFmtId="4" fontId="5" fillId="20" borderId="25" xfId="66" applyNumberFormat="1" applyFont="1" applyFill="1" applyBorder="1" applyAlignment="1" applyProtection="1">
      <alignment horizontal="center" vertical="center"/>
    </xf>
    <xf numFmtId="4" fontId="5" fillId="20" borderId="12" xfId="66" applyNumberFormat="1" applyFont="1" applyFill="1" applyBorder="1" applyAlignment="1" applyProtection="1">
      <alignment horizontal="center" vertical="center"/>
    </xf>
    <xf numFmtId="4" fontId="5" fillId="20" borderId="55" xfId="66" applyNumberFormat="1" applyFont="1" applyFill="1" applyBorder="1" applyAlignment="1" applyProtection="1">
      <alignment horizontal="center" vertical="center"/>
    </xf>
    <xf numFmtId="4" fontId="5" fillId="20" borderId="14" xfId="66" applyNumberFormat="1" applyFont="1" applyFill="1" applyBorder="1" applyAlignment="1" applyProtection="1">
      <alignment horizontal="center" vertical="center"/>
    </xf>
    <xf numFmtId="4" fontId="5" fillId="20" borderId="15" xfId="66" applyNumberFormat="1" applyFont="1" applyFill="1" applyBorder="1" applyAlignment="1" applyProtection="1">
      <alignment horizontal="center" vertical="center"/>
    </xf>
    <xf numFmtId="4" fontId="5" fillId="20" borderId="16" xfId="66" applyNumberFormat="1" applyFont="1" applyFill="1" applyBorder="1" applyAlignment="1" applyProtection="1">
      <alignment horizontal="center" vertical="center"/>
    </xf>
    <xf numFmtId="4" fontId="19" fillId="20" borderId="18" xfId="66" applyNumberFormat="1" applyFont="1" applyFill="1" applyBorder="1" applyAlignment="1" applyProtection="1">
      <alignment horizontal="center" vertical="center"/>
    </xf>
    <xf numFmtId="4" fontId="19" fillId="20" borderId="17" xfId="66" applyNumberFormat="1" applyFont="1" applyFill="1" applyBorder="1" applyAlignment="1" applyProtection="1">
      <alignment horizontal="center" vertical="center"/>
    </xf>
    <xf numFmtId="10" fontId="7" fillId="20" borderId="10" xfId="66" applyNumberFormat="1" applyFont="1" applyFill="1" applyBorder="1" applyAlignment="1" applyProtection="1">
      <alignment horizontal="center" vertical="center"/>
    </xf>
    <xf numFmtId="3" fontId="7" fillId="20" borderId="18" xfId="66" applyNumberFormat="1" applyFont="1" applyFill="1" applyBorder="1" applyAlignment="1" applyProtection="1">
      <alignment horizontal="center" vertical="center"/>
      <protection locked="0"/>
    </xf>
    <xf numFmtId="3" fontId="7" fillId="20" borderId="34" xfId="66" applyNumberFormat="1" applyFont="1" applyFill="1" applyBorder="1" applyAlignment="1" applyProtection="1">
      <alignment horizontal="center" vertical="center"/>
      <protection locked="0"/>
    </xf>
    <xf numFmtId="3" fontId="7" fillId="20" borderId="17" xfId="66" applyNumberFormat="1" applyFont="1" applyFill="1" applyBorder="1" applyAlignment="1" applyProtection="1">
      <alignment horizontal="center" vertical="center"/>
      <protection locked="0"/>
    </xf>
    <xf numFmtId="4" fontId="7" fillId="20" borderId="18" xfId="66" applyNumberFormat="1" applyFont="1" applyFill="1" applyBorder="1" applyAlignment="1" applyProtection="1">
      <alignment horizontal="center" vertical="center"/>
      <protection locked="0"/>
    </xf>
    <xf numFmtId="4" fontId="7" fillId="20" borderId="17" xfId="66" applyNumberFormat="1" applyFont="1" applyFill="1" applyBorder="1" applyAlignment="1" applyProtection="1">
      <alignment horizontal="center" vertical="center"/>
      <protection locked="0"/>
    </xf>
    <xf numFmtId="10" fontId="7" fillId="0" borderId="18" xfId="66" applyNumberFormat="1" applyFont="1" applyFill="1" applyBorder="1" applyAlignment="1" applyProtection="1">
      <alignment horizontal="center" vertical="center"/>
    </xf>
    <xf numFmtId="10" fontId="7" fillId="0" borderId="17" xfId="66" applyNumberFormat="1" applyFont="1" applyFill="1" applyBorder="1" applyAlignment="1" applyProtection="1">
      <alignment horizontal="center" vertical="center"/>
    </xf>
    <xf numFmtId="4" fontId="7" fillId="20" borderId="34" xfId="66" applyNumberFormat="1" applyFont="1" applyFill="1" applyBorder="1" applyAlignment="1" applyProtection="1">
      <alignment horizontal="center" vertical="center"/>
      <protection locked="0"/>
    </xf>
    <xf numFmtId="10" fontId="17" fillId="20" borderId="18" xfId="66" applyNumberFormat="1" applyFont="1" applyFill="1" applyBorder="1" applyAlignment="1" applyProtection="1">
      <alignment horizontal="center" vertical="center"/>
    </xf>
    <xf numFmtId="10" fontId="17" fillId="20" borderId="17" xfId="66" applyNumberFormat="1" applyFont="1" applyFill="1" applyBorder="1" applyAlignment="1" applyProtection="1">
      <alignment horizontal="center" vertical="center"/>
    </xf>
    <xf numFmtId="4" fontId="19" fillId="20" borderId="18" xfId="66" applyNumberFormat="1" applyFont="1" applyFill="1" applyBorder="1" applyAlignment="1" applyProtection="1">
      <alignment horizontal="center" vertical="center"/>
      <protection locked="0"/>
    </xf>
    <xf numFmtId="4" fontId="19" fillId="20" borderId="17" xfId="66" applyNumberFormat="1" applyFont="1" applyFill="1" applyBorder="1" applyAlignment="1" applyProtection="1">
      <alignment horizontal="center" vertical="center"/>
      <protection locked="0"/>
    </xf>
    <xf numFmtId="3" fontId="17" fillId="20" borderId="18" xfId="36" applyNumberFormat="1" applyFont="1" applyFill="1" applyBorder="1" applyAlignment="1" applyProtection="1">
      <alignment horizontal="center" vertical="center"/>
    </xf>
    <xf numFmtId="3" fontId="17" fillId="20" borderId="34" xfId="36" applyNumberFormat="1" applyFont="1" applyFill="1" applyBorder="1" applyAlignment="1" applyProtection="1">
      <alignment horizontal="center" vertical="center"/>
    </xf>
    <xf numFmtId="3" fontId="17" fillId="20" borderId="17" xfId="36" applyNumberFormat="1" applyFont="1" applyFill="1" applyBorder="1" applyAlignment="1" applyProtection="1">
      <alignment horizontal="center" vertical="center"/>
    </xf>
    <xf numFmtId="10" fontId="17" fillId="20" borderId="11" xfId="66" applyNumberFormat="1" applyFont="1" applyFill="1" applyBorder="1" applyAlignment="1" applyProtection="1">
      <alignment horizontal="center" vertical="center"/>
    </xf>
    <xf numFmtId="10" fontId="17" fillId="20" borderId="13" xfId="66" applyNumberFormat="1" applyFont="1" applyFill="1" applyBorder="1" applyAlignment="1" applyProtection="1">
      <alignment horizontal="center" vertical="center"/>
    </xf>
    <xf numFmtId="3" fontId="17" fillId="20" borderId="11" xfId="66" applyNumberFormat="1" applyFont="1" applyFill="1" applyBorder="1" applyAlignment="1" applyProtection="1">
      <alignment horizontal="center" vertical="center"/>
      <protection locked="0"/>
    </xf>
    <xf numFmtId="3" fontId="17" fillId="20" borderId="13" xfId="66" applyNumberFormat="1" applyFont="1" applyFill="1" applyBorder="1" applyAlignment="1" applyProtection="1">
      <alignment horizontal="center" vertical="center"/>
      <protection locked="0"/>
    </xf>
    <xf numFmtId="3" fontId="17" fillId="20" borderId="18" xfId="36" applyNumberFormat="1" applyFont="1" applyFill="1" applyBorder="1" applyAlignment="1" applyProtection="1">
      <alignment horizontal="center" vertical="center"/>
      <protection locked="0"/>
    </xf>
    <xf numFmtId="3" fontId="17" fillId="20" borderId="34" xfId="36" applyNumberFormat="1" applyFont="1" applyFill="1" applyBorder="1" applyAlignment="1" applyProtection="1">
      <alignment horizontal="center" vertical="center"/>
      <protection locked="0"/>
    </xf>
    <xf numFmtId="3" fontId="17" fillId="20" borderId="17" xfId="36" applyNumberFormat="1" applyFont="1" applyFill="1" applyBorder="1" applyAlignment="1" applyProtection="1">
      <alignment horizontal="center" vertical="center"/>
      <protection locked="0"/>
    </xf>
    <xf numFmtId="0" fontId="7" fillId="20" borderId="34" xfId="0" applyFont="1" applyFill="1" applyBorder="1" applyAlignment="1">
      <alignment horizontal="center" vertical="center"/>
    </xf>
    <xf numFmtId="0" fontId="7" fillId="20" borderId="17" xfId="0" applyFont="1" applyFill="1" applyBorder="1" applyAlignment="1">
      <alignment horizontal="center" vertical="center"/>
    </xf>
    <xf numFmtId="3" fontId="19" fillId="20" borderId="18" xfId="66" applyNumberFormat="1" applyFont="1" applyFill="1" applyBorder="1" applyAlignment="1" applyProtection="1">
      <alignment horizontal="center" vertical="center"/>
      <protection locked="0"/>
    </xf>
    <xf numFmtId="3" fontId="19" fillId="20" borderId="34" xfId="66" applyNumberFormat="1" applyFont="1" applyFill="1" applyBorder="1" applyAlignment="1" applyProtection="1">
      <alignment horizontal="center" vertical="center"/>
      <protection locked="0"/>
    </xf>
    <xf numFmtId="3" fontId="19" fillId="20" borderId="17" xfId="66" applyNumberFormat="1" applyFont="1" applyFill="1" applyBorder="1" applyAlignment="1" applyProtection="1">
      <alignment horizontal="center" vertical="center"/>
      <protection locked="0"/>
    </xf>
    <xf numFmtId="4" fontId="19" fillId="20" borderId="34" xfId="66" applyNumberFormat="1" applyFont="1" applyFill="1" applyBorder="1" applyAlignment="1" applyProtection="1">
      <alignment horizontal="center" vertical="center"/>
    </xf>
    <xf numFmtId="10" fontId="17" fillId="20" borderId="18" xfId="36" applyNumberFormat="1" applyFont="1" applyFill="1" applyBorder="1" applyAlignment="1" applyProtection="1">
      <alignment horizontal="center" vertical="center"/>
    </xf>
    <xf numFmtId="10" fontId="17" fillId="20" borderId="17" xfId="36" applyNumberFormat="1" applyFont="1" applyFill="1" applyBorder="1" applyAlignment="1" applyProtection="1">
      <alignment horizontal="center" vertical="center"/>
    </xf>
    <xf numFmtId="3" fontId="19" fillId="20" borderId="25" xfId="66" applyNumberFormat="1" applyFont="1" applyFill="1" applyBorder="1" applyAlignment="1" applyProtection="1">
      <alignment horizontal="center" vertical="center"/>
    </xf>
    <xf numFmtId="3" fontId="19" fillId="20" borderId="12" xfId="66" applyNumberFormat="1" applyFont="1" applyFill="1" applyBorder="1" applyAlignment="1" applyProtection="1">
      <alignment horizontal="center" vertical="center"/>
    </xf>
    <xf numFmtId="3" fontId="19" fillId="20" borderId="55" xfId="66" applyNumberFormat="1" applyFont="1" applyFill="1" applyBorder="1" applyAlignment="1" applyProtection="1">
      <alignment horizontal="center" vertical="center"/>
    </xf>
    <xf numFmtId="3" fontId="19" fillId="20" borderId="14" xfId="66" applyNumberFormat="1" applyFont="1" applyFill="1" applyBorder="1" applyAlignment="1" applyProtection="1">
      <alignment horizontal="center" vertical="center"/>
    </xf>
    <xf numFmtId="3" fontId="19" fillId="20" borderId="15" xfId="66" applyNumberFormat="1" applyFont="1" applyFill="1" applyBorder="1" applyAlignment="1" applyProtection="1">
      <alignment horizontal="center" vertical="center"/>
    </xf>
    <xf numFmtId="3" fontId="19" fillId="20" borderId="16" xfId="66" applyNumberFormat="1" applyFont="1" applyFill="1" applyBorder="1" applyAlignment="1" applyProtection="1">
      <alignment horizontal="center" vertical="center"/>
    </xf>
    <xf numFmtId="10" fontId="19" fillId="20" borderId="11" xfId="66" applyNumberFormat="1" applyFont="1" applyFill="1" applyBorder="1" applyAlignment="1" applyProtection="1">
      <alignment horizontal="center" vertical="center"/>
    </xf>
    <xf numFmtId="10" fontId="19" fillId="20" borderId="13" xfId="66" applyNumberFormat="1" applyFont="1" applyFill="1" applyBorder="1" applyAlignment="1" applyProtection="1">
      <alignment horizontal="center" vertical="center"/>
    </xf>
    <xf numFmtId="3" fontId="17" fillId="20" borderId="18" xfId="66" applyNumberFormat="1" applyFont="1" applyFill="1" applyBorder="1" applyAlignment="1" applyProtection="1">
      <alignment horizontal="center" vertical="center"/>
      <protection locked="0"/>
    </xf>
    <xf numFmtId="3" fontId="17" fillId="20" borderId="34" xfId="66" applyNumberFormat="1" applyFont="1" applyFill="1" applyBorder="1" applyAlignment="1" applyProtection="1">
      <alignment horizontal="center" vertical="center"/>
      <protection locked="0"/>
    </xf>
    <xf numFmtId="3" fontId="17" fillId="20" borderId="17" xfId="66" applyNumberFormat="1" applyFont="1" applyFill="1" applyBorder="1" applyAlignment="1" applyProtection="1">
      <alignment horizontal="center" vertical="center"/>
      <protection locked="0"/>
    </xf>
    <xf numFmtId="3" fontId="32" fillId="20" borderId="18" xfId="66" applyNumberFormat="1" applyFont="1" applyFill="1" applyBorder="1" applyAlignment="1" applyProtection="1">
      <alignment horizontal="center" vertical="center"/>
      <protection locked="0"/>
    </xf>
    <xf numFmtId="3" fontId="32" fillId="20" borderId="34" xfId="66" applyNumberFormat="1" applyFont="1" applyFill="1" applyBorder="1" applyAlignment="1" applyProtection="1">
      <alignment horizontal="center" vertical="center"/>
      <protection locked="0"/>
    </xf>
    <xf numFmtId="3" fontId="32" fillId="20" borderId="17" xfId="66" applyNumberFormat="1" applyFont="1" applyFill="1" applyBorder="1" applyAlignment="1" applyProtection="1">
      <alignment horizontal="center" vertical="center"/>
      <protection locked="0"/>
    </xf>
    <xf numFmtId="4" fontId="17" fillId="20" borderId="11" xfId="66" applyNumberFormat="1" applyFont="1" applyFill="1" applyBorder="1" applyAlignment="1" applyProtection="1">
      <alignment horizontal="center" vertical="center"/>
      <protection locked="0"/>
    </xf>
    <xf numFmtId="4" fontId="17" fillId="20" borderId="13" xfId="66" applyNumberFormat="1" applyFont="1" applyFill="1" applyBorder="1" applyAlignment="1" applyProtection="1">
      <alignment horizontal="center" vertical="center"/>
      <protection locked="0"/>
    </xf>
    <xf numFmtId="3" fontId="17" fillId="20" borderId="11" xfId="66" applyNumberFormat="1" applyFont="1" applyFill="1" applyBorder="1" applyAlignment="1" applyProtection="1">
      <alignment horizontal="center" vertical="center"/>
    </xf>
    <xf numFmtId="3" fontId="17" fillId="20" borderId="13" xfId="66" applyNumberFormat="1" applyFont="1" applyFill="1" applyBorder="1" applyAlignment="1" applyProtection="1">
      <alignment horizontal="center" vertical="center"/>
    </xf>
    <xf numFmtId="3" fontId="17" fillId="20" borderId="25" xfId="66" applyNumberFormat="1" applyFont="1" applyFill="1" applyBorder="1" applyAlignment="1" applyProtection="1">
      <alignment horizontal="center" vertical="center"/>
    </xf>
    <xf numFmtId="3" fontId="17" fillId="20" borderId="12" xfId="66" applyNumberFormat="1" applyFont="1" applyFill="1" applyBorder="1" applyAlignment="1" applyProtection="1">
      <alignment horizontal="center" vertical="center"/>
    </xf>
    <xf numFmtId="3" fontId="17" fillId="20" borderId="55" xfId="66" applyNumberFormat="1" applyFont="1" applyFill="1" applyBorder="1" applyAlignment="1" applyProtection="1">
      <alignment horizontal="center" vertical="center"/>
    </xf>
    <xf numFmtId="3" fontId="17" fillId="20" borderId="14" xfId="66" applyNumberFormat="1" applyFont="1" applyFill="1" applyBorder="1" applyAlignment="1" applyProtection="1">
      <alignment horizontal="center" vertical="center"/>
    </xf>
    <xf numFmtId="3" fontId="17" fillId="20" borderId="15" xfId="66" applyNumberFormat="1" applyFont="1" applyFill="1" applyBorder="1" applyAlignment="1" applyProtection="1">
      <alignment horizontal="center" vertical="center"/>
    </xf>
    <xf numFmtId="3" fontId="17" fillId="20" borderId="16" xfId="66" applyNumberFormat="1" applyFont="1" applyFill="1" applyBorder="1" applyAlignment="1" applyProtection="1">
      <alignment horizontal="center" vertical="center"/>
    </xf>
    <xf numFmtId="3" fontId="19" fillId="20" borderId="18" xfId="66" applyNumberFormat="1" applyFont="1" applyFill="1" applyBorder="1" applyAlignment="1" applyProtection="1">
      <alignment horizontal="center" vertical="center"/>
    </xf>
    <xf numFmtId="3" fontId="19" fillId="20" borderId="34" xfId="66" applyNumberFormat="1" applyFont="1" applyFill="1" applyBorder="1" applyAlignment="1" applyProtection="1">
      <alignment horizontal="center" vertical="center"/>
    </xf>
    <xf numFmtId="3" fontId="19" fillId="20" borderId="17" xfId="66" applyNumberFormat="1" applyFont="1" applyFill="1" applyBorder="1" applyAlignment="1" applyProtection="1">
      <alignment horizontal="center" vertical="center"/>
    </xf>
    <xf numFmtId="3" fontId="5" fillId="20" borderId="11" xfId="66" applyNumberFormat="1" applyFont="1" applyFill="1" applyBorder="1" applyAlignment="1" applyProtection="1">
      <alignment horizontal="center" vertical="center"/>
    </xf>
    <xf numFmtId="3" fontId="5" fillId="20" borderId="13" xfId="66" applyNumberFormat="1" applyFont="1" applyFill="1" applyBorder="1" applyAlignment="1" applyProtection="1">
      <alignment horizontal="center" vertical="center"/>
    </xf>
    <xf numFmtId="4" fontId="5" fillId="20" borderId="11" xfId="66" applyNumberFormat="1" applyFont="1" applyFill="1" applyBorder="1" applyAlignment="1" applyProtection="1">
      <alignment horizontal="center" vertical="center"/>
    </xf>
    <xf numFmtId="4" fontId="5" fillId="20" borderId="13" xfId="66" applyNumberFormat="1" applyFont="1" applyFill="1" applyBorder="1" applyAlignment="1" applyProtection="1">
      <alignment horizontal="center" vertical="center"/>
    </xf>
    <xf numFmtId="10" fontId="17" fillId="20" borderId="10" xfId="66" applyNumberFormat="1" applyFont="1" applyFill="1" applyBorder="1" applyAlignment="1" applyProtection="1">
      <alignment horizontal="center" vertical="center"/>
    </xf>
    <xf numFmtId="3" fontId="5" fillId="20" borderId="25" xfId="66" applyNumberFormat="1" applyFont="1" applyFill="1" applyBorder="1" applyAlignment="1" applyProtection="1">
      <alignment horizontal="center" vertical="center"/>
      <protection locked="0"/>
    </xf>
    <xf numFmtId="3" fontId="5" fillId="20" borderId="12" xfId="66" applyNumberFormat="1" applyFont="1" applyFill="1" applyBorder="1" applyAlignment="1" applyProtection="1">
      <alignment horizontal="center" vertical="center"/>
      <protection locked="0"/>
    </xf>
    <xf numFmtId="3" fontId="5" fillId="20" borderId="55" xfId="66" applyNumberFormat="1" applyFont="1" applyFill="1" applyBorder="1" applyAlignment="1" applyProtection="1">
      <alignment horizontal="center" vertical="center"/>
      <protection locked="0"/>
    </xf>
    <xf numFmtId="0" fontId="17" fillId="0" borderId="10" xfId="34" applyFont="1" applyFill="1" applyBorder="1" applyAlignment="1" applyProtection="1">
      <alignment horizontal="center" vertical="top" wrapText="1"/>
    </xf>
    <xf numFmtId="0" fontId="17" fillId="0" borderId="10" xfId="34" applyFont="1" applyFill="1" applyBorder="1" applyAlignment="1" applyProtection="1">
      <alignment horizontal="center" vertical="center"/>
    </xf>
    <xf numFmtId="4" fontId="5" fillId="0" borderId="25" xfId="66" applyNumberFormat="1" applyFont="1" applyFill="1" applyBorder="1" applyAlignment="1" applyProtection="1">
      <alignment horizontal="center" vertical="center"/>
    </xf>
    <xf numFmtId="4" fontId="5" fillId="0" borderId="12" xfId="66" applyNumberFormat="1" applyFont="1" applyFill="1" applyBorder="1" applyAlignment="1" applyProtection="1">
      <alignment horizontal="center" vertical="center"/>
    </xf>
    <xf numFmtId="4" fontId="5" fillId="0" borderId="55" xfId="66" applyNumberFormat="1" applyFont="1" applyFill="1" applyBorder="1" applyAlignment="1" applyProtection="1">
      <alignment horizontal="center" vertical="center"/>
    </xf>
    <xf numFmtId="4" fontId="5" fillId="0" borderId="14" xfId="66" applyNumberFormat="1" applyFont="1" applyFill="1" applyBorder="1" applyAlignment="1" applyProtection="1">
      <alignment horizontal="center" vertical="center"/>
    </xf>
    <xf numFmtId="4" fontId="5" fillId="0" borderId="15" xfId="66" applyNumberFormat="1" applyFont="1" applyFill="1" applyBorder="1" applyAlignment="1" applyProtection="1">
      <alignment horizontal="center" vertical="center"/>
    </xf>
    <xf numFmtId="4" fontId="5" fillId="0" borderId="16" xfId="66" applyNumberFormat="1" applyFont="1" applyFill="1" applyBorder="1" applyAlignment="1" applyProtection="1">
      <alignment horizontal="center" vertical="center"/>
    </xf>
    <xf numFmtId="1" fontId="17" fillId="20" borderId="11" xfId="66" applyNumberFormat="1" applyFont="1" applyFill="1" applyBorder="1" applyAlignment="1" applyProtection="1">
      <alignment horizontal="center" vertical="center"/>
    </xf>
    <xf numFmtId="1" fontId="17" fillId="20" borderId="13" xfId="66" applyNumberFormat="1" applyFont="1" applyFill="1" applyBorder="1" applyAlignment="1" applyProtection="1">
      <alignment horizontal="center" vertical="center"/>
    </xf>
    <xf numFmtId="3" fontId="19" fillId="20" borderId="25" xfId="36" applyNumberFormat="1" applyFont="1" applyFill="1" applyBorder="1" applyAlignment="1" applyProtection="1">
      <alignment horizontal="center" vertical="center"/>
    </xf>
    <xf numFmtId="3" fontId="19" fillId="20" borderId="12" xfId="36" applyNumberFormat="1" applyFont="1" applyFill="1" applyBorder="1" applyAlignment="1" applyProtection="1">
      <alignment horizontal="center" vertical="center"/>
    </xf>
    <xf numFmtId="3" fontId="19" fillId="20" borderId="55" xfId="36" applyNumberFormat="1" applyFont="1" applyFill="1" applyBorder="1" applyAlignment="1" applyProtection="1">
      <alignment horizontal="center" vertical="center"/>
    </xf>
    <xf numFmtId="3" fontId="19" fillId="20" borderId="14" xfId="36" applyNumberFormat="1" applyFont="1" applyFill="1" applyBorder="1" applyAlignment="1" applyProtection="1">
      <alignment horizontal="center" vertical="center"/>
    </xf>
    <xf numFmtId="3" fontId="19" fillId="20" borderId="15" xfId="36" applyNumberFormat="1" applyFont="1" applyFill="1" applyBorder="1" applyAlignment="1" applyProtection="1">
      <alignment horizontal="center" vertical="center"/>
    </xf>
    <xf numFmtId="3" fontId="19" fillId="20" borderId="16" xfId="36" applyNumberFormat="1" applyFont="1" applyFill="1" applyBorder="1" applyAlignment="1" applyProtection="1">
      <alignment horizontal="center" vertical="center"/>
    </xf>
    <xf numFmtId="3" fontId="19" fillId="20" borderId="11" xfId="66" applyNumberFormat="1" applyFont="1" applyFill="1" applyBorder="1" applyAlignment="1" applyProtection="1">
      <alignment horizontal="center" vertical="center"/>
    </xf>
    <xf numFmtId="3" fontId="19" fillId="20" borderId="13" xfId="66" applyNumberFormat="1" applyFont="1" applyFill="1" applyBorder="1" applyAlignment="1" applyProtection="1">
      <alignment horizontal="center" vertical="center"/>
    </xf>
    <xf numFmtId="3" fontId="19" fillId="0" borderId="0" xfId="34" applyNumberFormat="1" applyFont="1" applyFill="1" applyBorder="1" applyAlignment="1">
      <alignment horizontal="left" vertical="center"/>
    </xf>
    <xf numFmtId="3" fontId="19" fillId="0" borderId="29" xfId="34" applyNumberFormat="1" applyFont="1" applyFill="1" applyBorder="1" applyAlignment="1">
      <alignment horizontal="center" vertical="center" wrapText="1"/>
    </xf>
    <xf numFmtId="3" fontId="19" fillId="0" borderId="64" xfId="34" applyNumberFormat="1" applyFont="1" applyFill="1" applyBorder="1" applyAlignment="1">
      <alignment horizontal="center" vertical="center" wrapText="1"/>
    </xf>
    <xf numFmtId="0" fontId="17" fillId="0" borderId="64" xfId="34" applyFont="1" applyFill="1" applyBorder="1" applyAlignment="1">
      <alignment horizontal="center" vertical="center" wrapText="1"/>
    </xf>
    <xf numFmtId="3" fontId="19" fillId="0" borderId="47" xfId="34" applyNumberFormat="1" applyFont="1" applyFill="1" applyBorder="1" applyAlignment="1">
      <alignment horizontal="center" vertical="center" wrapText="1"/>
    </xf>
    <xf numFmtId="3" fontId="19" fillId="0" borderId="66" xfId="34" applyNumberFormat="1" applyFont="1" applyFill="1" applyBorder="1" applyAlignment="1">
      <alignment horizontal="center" vertical="center" wrapText="1"/>
    </xf>
    <xf numFmtId="0" fontId="21" fillId="0" borderId="14" xfId="34" applyFont="1" applyFill="1" applyBorder="1" applyAlignment="1">
      <alignment horizontal="center" vertical="center" wrapText="1"/>
    </xf>
    <xf numFmtId="0" fontId="21" fillId="0" borderId="18" xfId="34" applyFont="1" applyFill="1" applyBorder="1" applyAlignment="1">
      <alignment horizontal="center" vertical="center" wrapText="1"/>
    </xf>
    <xf numFmtId="0" fontId="21" fillId="0" borderId="71" xfId="34" applyFont="1" applyFill="1" applyBorder="1" applyAlignment="1">
      <alignment horizontal="center" vertical="center" wrapText="1"/>
    </xf>
    <xf numFmtId="3" fontId="19" fillId="0" borderId="63" xfId="34" applyNumberFormat="1" applyFont="1" applyFill="1" applyBorder="1" applyAlignment="1">
      <alignment horizontal="center" vertical="center" wrapText="1"/>
    </xf>
    <xf numFmtId="3" fontId="19" fillId="0" borderId="48" xfId="34" applyNumberFormat="1" applyFont="1" applyFill="1" applyBorder="1" applyAlignment="1">
      <alignment horizontal="center" vertical="center" wrapText="1"/>
    </xf>
    <xf numFmtId="3" fontId="19" fillId="0" borderId="53" xfId="34" applyNumberFormat="1" applyFont="1" applyFill="1" applyBorder="1" applyAlignment="1">
      <alignment horizontal="center" vertical="center" wrapText="1"/>
    </xf>
    <xf numFmtId="0" fontId="17" fillId="0" borderId="53" xfId="34" applyFont="1" applyFill="1" applyBorder="1" applyAlignment="1">
      <alignment horizontal="center" vertical="center" wrapText="1"/>
    </xf>
    <xf numFmtId="3" fontId="19" fillId="0" borderId="15" xfId="34" applyNumberFormat="1" applyFont="1" applyFill="1" applyBorder="1" applyAlignment="1">
      <alignment horizontal="center" vertical="center" wrapText="1"/>
    </xf>
    <xf numFmtId="0" fontId="17" fillId="0" borderId="39" xfId="34" applyFont="1" applyFill="1" applyBorder="1" applyAlignment="1">
      <alignment horizontal="center" vertical="center" wrapText="1"/>
    </xf>
    <xf numFmtId="3" fontId="19" fillId="0" borderId="77" xfId="34" applyNumberFormat="1" applyFont="1" applyFill="1" applyBorder="1" applyAlignment="1">
      <alignment horizontal="center" vertical="center" wrapText="1"/>
    </xf>
    <xf numFmtId="3" fontId="19" fillId="0" borderId="61" xfId="34" applyNumberFormat="1" applyFont="1" applyFill="1" applyBorder="1" applyAlignment="1">
      <alignment horizontal="center" vertical="center" wrapText="1"/>
    </xf>
    <xf numFmtId="3" fontId="19" fillId="0" borderId="78" xfId="34" applyNumberFormat="1" applyFont="1" applyFill="1" applyBorder="1" applyAlignment="1">
      <alignment horizontal="center" vertical="center" wrapText="1"/>
    </xf>
    <xf numFmtId="3" fontId="17" fillId="0" borderId="0" xfId="34" applyNumberFormat="1" applyFont="1" applyFill="1" applyAlignment="1">
      <alignment horizontal="left"/>
    </xf>
    <xf numFmtId="3" fontId="19" fillId="0" borderId="58" xfId="34" applyNumberFormat="1" applyFont="1" applyFill="1" applyBorder="1" applyAlignment="1">
      <alignment horizontal="center" vertical="center" wrapText="1"/>
    </xf>
    <xf numFmtId="3" fontId="19" fillId="0" borderId="59" xfId="34" applyNumberFormat="1" applyFont="1" applyFill="1" applyBorder="1" applyAlignment="1">
      <alignment horizontal="center" vertical="center" wrapText="1"/>
    </xf>
    <xf numFmtId="3" fontId="19" fillId="0" borderId="60" xfId="34" applyNumberFormat="1" applyFont="1" applyFill="1" applyBorder="1" applyAlignment="1">
      <alignment horizontal="center" vertical="center" wrapText="1"/>
    </xf>
    <xf numFmtId="3" fontId="19" fillId="0" borderId="21" xfId="34" applyNumberFormat="1" applyFont="1" applyFill="1" applyBorder="1" applyAlignment="1">
      <alignment horizontal="center" vertical="center" wrapText="1"/>
    </xf>
    <xf numFmtId="3" fontId="19" fillId="0" borderId="22" xfId="34" applyNumberFormat="1" applyFont="1" applyFill="1" applyBorder="1" applyAlignment="1">
      <alignment horizontal="center" vertical="center" wrapText="1"/>
    </xf>
    <xf numFmtId="3" fontId="19" fillId="0" borderId="23" xfId="34" applyNumberFormat="1" applyFont="1" applyFill="1" applyBorder="1" applyAlignment="1">
      <alignment horizontal="center" vertical="center" wrapText="1"/>
    </xf>
    <xf numFmtId="3" fontId="19" fillId="0" borderId="62" xfId="34" applyNumberFormat="1" applyFont="1" applyFill="1" applyBorder="1" applyAlignment="1">
      <alignment horizontal="center" vertical="center" wrapText="1"/>
    </xf>
    <xf numFmtId="3" fontId="19" fillId="0" borderId="80" xfId="34" applyNumberFormat="1" applyFont="1" applyFill="1" applyBorder="1" applyAlignment="1">
      <alignment horizontal="center" vertical="center"/>
    </xf>
    <xf numFmtId="3" fontId="19" fillId="0" borderId="81" xfId="34" applyNumberFormat="1" applyFont="1" applyFill="1" applyBorder="1" applyAlignment="1">
      <alignment horizontal="center" vertical="center"/>
    </xf>
    <xf numFmtId="3" fontId="19" fillId="0" borderId="82" xfId="34" applyNumberFormat="1" applyFont="1" applyFill="1" applyBorder="1" applyAlignment="1">
      <alignment horizontal="center" vertical="center"/>
    </xf>
    <xf numFmtId="3" fontId="19" fillId="0" borderId="65" xfId="34" applyNumberFormat="1" applyFont="1" applyFill="1" applyBorder="1" applyAlignment="1">
      <alignment horizontal="center" vertical="center" wrapText="1"/>
    </xf>
    <xf numFmtId="3" fontId="17" fillId="0" borderId="62" xfId="34" applyNumberFormat="1" applyFont="1" applyFill="1" applyBorder="1" applyAlignment="1">
      <alignment horizontal="center" vertical="center" wrapText="1"/>
    </xf>
    <xf numFmtId="3" fontId="17" fillId="0" borderId="53" xfId="34" applyNumberFormat="1" applyFont="1" applyFill="1" applyBorder="1" applyAlignment="1">
      <alignment horizontal="center" vertical="center" wrapText="1"/>
    </xf>
    <xf numFmtId="3" fontId="19" fillId="0" borderId="33" xfId="34" applyNumberFormat="1" applyFont="1" applyFill="1" applyBorder="1" applyAlignment="1">
      <alignment horizontal="center" vertical="center" wrapText="1"/>
    </xf>
    <xf numFmtId="3" fontId="19" fillId="0" borderId="34" xfId="34" applyNumberFormat="1" applyFont="1" applyFill="1" applyBorder="1" applyAlignment="1">
      <alignment horizontal="center" vertical="center" wrapText="1"/>
    </xf>
    <xf numFmtId="3" fontId="19" fillId="0" borderId="39" xfId="34" applyNumberFormat="1" applyFont="1" applyFill="1" applyBorder="1" applyAlignment="1">
      <alignment horizontal="center" vertical="center" wrapText="1"/>
    </xf>
    <xf numFmtId="3" fontId="19" fillId="0" borderId="56" xfId="34" applyNumberFormat="1" applyFont="1" applyFill="1" applyBorder="1" applyAlignment="1">
      <alignment horizontal="center" vertical="center" wrapText="1"/>
    </xf>
    <xf numFmtId="3" fontId="19" fillId="0" borderId="19" xfId="34" applyNumberFormat="1" applyFont="1" applyFill="1" applyBorder="1" applyAlignment="1">
      <alignment horizontal="center" vertical="center" wrapText="1"/>
    </xf>
    <xf numFmtId="3" fontId="19" fillId="0" borderId="79" xfId="34" applyNumberFormat="1" applyFont="1" applyFill="1" applyBorder="1" applyAlignment="1">
      <alignment horizontal="center" vertical="center" wrapText="1"/>
    </xf>
    <xf numFmtId="3" fontId="19" fillId="0" borderId="75" xfId="34" applyNumberFormat="1" applyFont="1" applyFill="1" applyBorder="1" applyAlignment="1">
      <alignment horizontal="center" vertical="center" wrapText="1"/>
    </xf>
    <xf numFmtId="3" fontId="19" fillId="0" borderId="80" xfId="34" applyNumberFormat="1" applyFont="1" applyFill="1" applyBorder="1" applyAlignment="1">
      <alignment horizontal="center" vertical="center" wrapText="1"/>
    </xf>
    <xf numFmtId="3" fontId="19" fillId="0" borderId="81" xfId="34" applyNumberFormat="1" applyFont="1" applyFill="1" applyBorder="1" applyAlignment="1">
      <alignment horizontal="center" vertical="center" wrapText="1"/>
    </xf>
    <xf numFmtId="3" fontId="19" fillId="0" borderId="82" xfId="34" applyNumberFormat="1" applyFont="1" applyFill="1" applyBorder="1" applyAlignment="1">
      <alignment horizontal="center" vertical="center" wrapText="1"/>
    </xf>
    <xf numFmtId="3" fontId="19" fillId="0" borderId="76" xfId="34" applyNumberFormat="1" applyFont="1" applyFill="1" applyBorder="1" applyAlignment="1">
      <alignment horizontal="center" vertical="center" wrapText="1"/>
    </xf>
    <xf numFmtId="3" fontId="19" fillId="0" borderId="54" xfId="34" applyNumberFormat="1" applyFont="1" applyFill="1" applyBorder="1" applyAlignment="1">
      <alignment horizontal="center" vertical="center" wrapText="1"/>
    </xf>
    <xf numFmtId="3" fontId="17" fillId="0" borderId="54" xfId="34" applyNumberFormat="1" applyFont="1" applyFill="1" applyBorder="1" applyAlignment="1">
      <alignment horizontal="center" vertical="center" wrapText="1"/>
    </xf>
    <xf numFmtId="3" fontId="19" fillId="0" borderId="44" xfId="34" applyNumberFormat="1" applyFont="1" applyFill="1" applyBorder="1" applyAlignment="1">
      <alignment horizontal="center" vertical="center" wrapText="1"/>
    </xf>
    <xf numFmtId="0" fontId="21" fillId="0" borderId="16" xfId="34" applyFont="1" applyFill="1" applyBorder="1" applyAlignment="1">
      <alignment horizontal="center" vertical="center" wrapText="1"/>
    </xf>
    <xf numFmtId="0" fontId="21" fillId="0" borderId="34" xfId="34" applyFont="1" applyFill="1" applyBorder="1" applyAlignment="1">
      <alignment horizontal="center" vertical="center" wrapText="1"/>
    </xf>
    <xf numFmtId="0" fontId="21" fillId="0" borderId="12" xfId="34" applyFont="1" applyFill="1" applyBorder="1" applyAlignment="1">
      <alignment horizontal="center" vertical="center" wrapText="1"/>
    </xf>
    <xf numFmtId="0" fontId="17" fillId="0" borderId="62" xfId="34" applyFont="1" applyFill="1" applyBorder="1" applyAlignment="1">
      <alignment horizontal="center" vertical="center" wrapText="1"/>
    </xf>
    <xf numFmtId="0" fontId="17" fillId="0" borderId="54" xfId="34" applyFont="1" applyFill="1" applyBorder="1" applyAlignment="1">
      <alignment horizontal="center" vertical="center" wrapText="1"/>
    </xf>
    <xf numFmtId="3" fontId="18" fillId="26" borderId="0" xfId="34" applyNumberFormat="1" applyFont="1" applyFill="1" applyBorder="1" applyAlignment="1">
      <alignment horizontal="center" vertical="center"/>
    </xf>
    <xf numFmtId="0" fontId="21" fillId="0" borderId="0" xfId="34" applyFont="1" applyFill="1" applyBorder="1" applyAlignment="1">
      <alignment horizontal="center" vertical="center" wrapText="1"/>
    </xf>
    <xf numFmtId="0" fontId="21" fillId="0" borderId="31" xfId="34" applyFont="1" applyFill="1" applyBorder="1" applyAlignment="1">
      <alignment horizontal="center" vertical="center" wrapText="1"/>
    </xf>
    <xf numFmtId="0" fontId="21" fillId="0" borderId="42" xfId="34" applyFont="1" applyFill="1" applyBorder="1" applyAlignment="1">
      <alignment horizontal="center" vertical="center" wrapText="1"/>
    </xf>
    <xf numFmtId="0" fontId="21" fillId="0" borderId="37" xfId="34" applyFont="1" applyFill="1" applyBorder="1" applyAlignment="1">
      <alignment horizontal="center" vertical="center" wrapText="1"/>
    </xf>
    <xf numFmtId="0" fontId="17" fillId="0" borderId="63" xfId="34" applyFont="1" applyFill="1" applyBorder="1" applyAlignment="1">
      <alignment horizontal="center" vertical="center" wrapText="1"/>
    </xf>
    <xf numFmtId="3" fontId="19" fillId="0" borderId="32" xfId="34" applyNumberFormat="1" applyFont="1" applyFill="1" applyBorder="1" applyAlignment="1">
      <alignment horizontal="center" vertical="center" wrapText="1"/>
    </xf>
    <xf numFmtId="3" fontId="19" fillId="0" borderId="72" xfId="34" applyNumberFormat="1" applyFont="1" applyFill="1" applyBorder="1" applyAlignment="1">
      <alignment horizontal="center" vertical="center" wrapText="1"/>
    </xf>
    <xf numFmtId="3" fontId="19" fillId="0" borderId="49" xfId="34" applyNumberFormat="1" applyFont="1" applyFill="1" applyBorder="1" applyAlignment="1">
      <alignment horizontal="center" vertical="center" wrapText="1"/>
    </xf>
    <xf numFmtId="3" fontId="19" fillId="0" borderId="69" xfId="34" applyNumberFormat="1" applyFont="1" applyFill="1" applyBorder="1" applyAlignment="1">
      <alignment horizontal="center" vertical="center" wrapText="1"/>
    </xf>
    <xf numFmtId="0" fontId="21" fillId="0" borderId="15" xfId="34" applyFont="1" applyFill="1" applyBorder="1" applyAlignment="1">
      <alignment horizontal="center" vertical="center" wrapText="1"/>
    </xf>
    <xf numFmtId="0" fontId="21" fillId="0" borderId="17" xfId="34" applyFont="1" applyFill="1" applyBorder="1" applyAlignment="1">
      <alignment horizontal="center" vertical="center" wrapText="1"/>
    </xf>
    <xf numFmtId="3" fontId="19" fillId="0" borderId="13" xfId="34" applyNumberFormat="1" applyFont="1" applyFill="1" applyBorder="1" applyAlignment="1">
      <alignment horizontal="center" vertical="center" wrapText="1"/>
    </xf>
    <xf numFmtId="0" fontId="17" fillId="0" borderId="66" xfId="34" applyFont="1" applyFill="1" applyBorder="1" applyAlignment="1">
      <alignment horizontal="center" vertical="center" wrapText="1"/>
    </xf>
    <xf numFmtId="3" fontId="19" fillId="0" borderId="12" xfId="34" applyNumberFormat="1" applyFont="1" applyFill="1" applyBorder="1" applyAlignment="1">
      <alignment horizontal="center" vertical="center" wrapText="1"/>
    </xf>
    <xf numFmtId="0" fontId="17" fillId="0" borderId="65" xfId="34" applyFont="1" applyFill="1" applyBorder="1" applyAlignment="1">
      <alignment horizontal="center" vertical="center" wrapText="1"/>
    </xf>
    <xf numFmtId="0" fontId="21" fillId="0" borderId="39" xfId="34" applyFont="1" applyFill="1" applyBorder="1" applyAlignment="1">
      <alignment horizontal="center" vertical="center" wrapText="1"/>
    </xf>
    <xf numFmtId="0" fontId="21" fillId="0" borderId="46" xfId="34" applyFont="1" applyFill="1" applyBorder="1" applyAlignment="1">
      <alignment horizontal="center" vertical="center" wrapText="1"/>
    </xf>
    <xf numFmtId="0" fontId="21" fillId="0" borderId="28" xfId="34" applyFont="1" applyFill="1" applyBorder="1" applyAlignment="1">
      <alignment horizontal="center" vertical="center" wrapText="1"/>
    </xf>
    <xf numFmtId="0" fontId="21" fillId="0" borderId="52" xfId="34" applyFont="1" applyFill="1" applyBorder="1" applyAlignment="1">
      <alignment horizontal="center" vertical="center" wrapText="1"/>
    </xf>
    <xf numFmtId="0" fontId="21" fillId="0" borderId="41" xfId="34" applyFont="1" applyFill="1" applyBorder="1" applyAlignment="1">
      <alignment horizontal="center" vertical="center" wrapText="1"/>
    </xf>
    <xf numFmtId="3" fontId="19" fillId="0" borderId="27" xfId="34" applyNumberFormat="1" applyFont="1" applyFill="1" applyBorder="1" applyAlignment="1">
      <alignment horizontal="center" vertical="center" wrapText="1"/>
    </xf>
    <xf numFmtId="3" fontId="19" fillId="0" borderId="68" xfId="34" applyNumberFormat="1" applyFont="1" applyFill="1" applyBorder="1" applyAlignment="1">
      <alignment horizontal="center" vertical="center" wrapText="1"/>
    </xf>
    <xf numFmtId="0" fontId="17" fillId="0" borderId="69" xfId="34" applyFont="1" applyFill="1" applyBorder="1" applyAlignment="1">
      <alignment horizontal="center" vertical="center" wrapText="1"/>
    </xf>
    <xf numFmtId="0" fontId="17" fillId="0" borderId="44" xfId="34" applyFont="1" applyFill="1" applyBorder="1" applyAlignment="1">
      <alignment horizontal="center" vertical="center" wrapText="1"/>
    </xf>
    <xf numFmtId="3" fontId="19" fillId="0" borderId="70" xfId="34" applyNumberFormat="1" applyFont="1" applyFill="1" applyBorder="1" applyAlignment="1">
      <alignment horizontal="center" vertical="center" wrapText="1"/>
    </xf>
    <xf numFmtId="3" fontId="19" fillId="0" borderId="29" xfId="34" applyNumberFormat="1" applyFont="1" applyFill="1" applyBorder="1" applyAlignment="1">
      <alignment horizontal="center" vertical="center"/>
    </xf>
    <xf numFmtId="3" fontId="19" fillId="0" borderId="63" xfId="34" applyNumberFormat="1" applyFont="1" applyFill="1" applyBorder="1" applyAlignment="1">
      <alignment horizontal="center" vertical="center"/>
    </xf>
    <xf numFmtId="3" fontId="19" fillId="0" borderId="64" xfId="34" applyNumberFormat="1" applyFont="1" applyFill="1" applyBorder="1" applyAlignment="1">
      <alignment horizontal="center" vertical="center"/>
    </xf>
    <xf numFmtId="0" fontId="21" fillId="0" borderId="33" xfId="34" applyFont="1" applyFill="1" applyBorder="1" applyAlignment="1">
      <alignment horizontal="center" vertical="center" wrapText="1"/>
    </xf>
    <xf numFmtId="3" fontId="19" fillId="0" borderId="73" xfId="34" applyNumberFormat="1" applyFont="1" applyFill="1" applyBorder="1" applyAlignment="1">
      <alignment horizontal="center" vertical="center" wrapText="1"/>
    </xf>
    <xf numFmtId="0" fontId="17" fillId="0" borderId="74" xfId="34" applyFont="1" applyFill="1" applyBorder="1" applyAlignment="1">
      <alignment horizontal="center" vertical="center" wrapText="1"/>
    </xf>
    <xf numFmtId="0" fontId="17" fillId="0" borderId="75" xfId="34" applyFont="1" applyFill="1" applyBorder="1" applyAlignment="1">
      <alignment horizontal="center" vertical="center" wrapText="1"/>
    </xf>
    <xf numFmtId="3" fontId="19" fillId="0" borderId="67" xfId="34" applyNumberFormat="1" applyFont="1" applyFill="1" applyBorder="1" applyAlignment="1">
      <alignment horizontal="center" vertical="center" wrapText="1"/>
    </xf>
    <xf numFmtId="0" fontId="19" fillId="25" borderId="18" xfId="34" applyFont="1" applyFill="1" applyBorder="1" applyAlignment="1" applyProtection="1">
      <alignment horizontal="left" vertical="center" wrapText="1"/>
      <protection locked="0"/>
    </xf>
    <xf numFmtId="0" fontId="7" fillId="25" borderId="34" xfId="0" applyFont="1" applyFill="1" applyBorder="1" applyAlignment="1">
      <alignment horizontal="left" vertical="center" wrapText="1"/>
    </xf>
    <xf numFmtId="0" fontId="18" fillId="22" borderId="18" xfId="34" applyFont="1" applyFill="1" applyBorder="1" applyAlignment="1" applyProtection="1">
      <alignment horizontal="center" vertical="center"/>
    </xf>
    <xf numFmtId="0" fontId="16" fillId="22" borderId="34" xfId="34" applyFont="1" applyFill="1" applyBorder="1" applyAlignment="1" applyProtection="1">
      <alignment horizontal="center" vertical="center"/>
    </xf>
    <xf numFmtId="0" fontId="16" fillId="22" borderId="17" xfId="34" applyFont="1" applyFill="1" applyBorder="1" applyAlignment="1" applyProtection="1">
      <alignment horizontal="center" vertical="center"/>
    </xf>
    <xf numFmtId="0" fontId="17" fillId="0" borderId="11" xfId="34" applyFont="1" applyFill="1" applyBorder="1" applyAlignment="1" applyProtection="1">
      <alignment horizontal="center" vertical="center" wrapText="1"/>
    </xf>
    <xf numFmtId="0" fontId="17" fillId="0" borderId="13" xfId="34" applyFont="1" applyFill="1" applyBorder="1" applyAlignment="1" applyProtection="1">
      <alignment horizontal="center" vertical="center" wrapText="1"/>
    </xf>
    <xf numFmtId="0" fontId="18" fillId="22" borderId="18" xfId="34" applyNumberFormat="1" applyFont="1" applyFill="1" applyBorder="1" applyAlignment="1" applyProtection="1">
      <alignment horizontal="center" vertical="center" wrapText="1"/>
    </xf>
    <xf numFmtId="0" fontId="18" fillId="22" borderId="34" xfId="34" applyNumberFormat="1" applyFont="1" applyFill="1" applyBorder="1" applyAlignment="1" applyProtection="1">
      <alignment horizontal="center" vertical="center" wrapText="1"/>
    </xf>
    <xf numFmtId="0" fontId="18" fillId="22" borderId="17" xfId="34" applyNumberFormat="1" applyFont="1" applyFill="1" applyBorder="1" applyAlignment="1" applyProtection="1">
      <alignment horizontal="center" vertical="center" wrapText="1"/>
    </xf>
    <xf numFmtId="0" fontId="17" fillId="0" borderId="10" xfId="34" applyNumberFormat="1" applyFont="1" applyFill="1" applyBorder="1" applyAlignment="1" applyProtection="1">
      <alignment horizontal="center" vertical="center" wrapText="1"/>
    </xf>
    <xf numFmtId="0" fontId="17" fillId="0" borderId="11" xfId="34" applyNumberFormat="1" applyFont="1" applyFill="1" applyBorder="1" applyAlignment="1" applyProtection="1">
      <alignment horizontal="center" vertical="center" wrapText="1"/>
    </xf>
    <xf numFmtId="0" fontId="17" fillId="0" borderId="61" xfId="34" applyNumberFormat="1" applyFont="1" applyFill="1" applyBorder="1" applyAlignment="1" applyProtection="1">
      <alignment horizontal="center" vertical="center" wrapText="1"/>
    </xf>
    <xf numFmtId="0" fontId="17" fillId="0" borderId="13" xfId="34" applyNumberFormat="1" applyFont="1" applyFill="1" applyBorder="1" applyAlignment="1" applyProtection="1">
      <alignment horizontal="center" vertical="center" wrapText="1"/>
    </xf>
    <xf numFmtId="0" fontId="16" fillId="22" borderId="34" xfId="34" applyFont="1" applyFill="1" applyBorder="1" applyAlignment="1" applyProtection="1">
      <alignment horizontal="center" vertical="center" wrapText="1"/>
    </xf>
    <xf numFmtId="0" fontId="16" fillId="22" borderId="17" xfId="34" applyFont="1" applyFill="1" applyBorder="1" applyAlignment="1" applyProtection="1">
      <alignment horizontal="center" vertical="center" wrapText="1"/>
    </xf>
    <xf numFmtId="0" fontId="17" fillId="0" borderId="18" xfId="34" applyFont="1" applyFill="1" applyBorder="1" applyAlignment="1" applyProtection="1">
      <alignment horizontal="center" vertical="center" wrapText="1"/>
      <protection locked="0"/>
    </xf>
    <xf numFmtId="0" fontId="17" fillId="0" borderId="17" xfId="34" applyFont="1" applyFill="1" applyBorder="1" applyAlignment="1" applyProtection="1">
      <alignment horizontal="center" vertical="center" wrapText="1"/>
      <protection locked="0"/>
    </xf>
    <xf numFmtId="1" fontId="17" fillId="0" borderId="0" xfId="34" applyNumberFormat="1" applyFont="1" applyFill="1" applyAlignment="1" applyProtection="1">
      <alignment horizontal="left" vertical="center" wrapText="1"/>
      <protection locked="0"/>
    </xf>
    <xf numFmtId="1" fontId="19" fillId="0" borderId="18" xfId="34" applyNumberFormat="1" applyFont="1" applyFill="1" applyBorder="1" applyAlignment="1" applyProtection="1">
      <alignment horizontal="left" vertical="center" wrapText="1"/>
      <protection locked="0"/>
    </xf>
    <xf numFmtId="1" fontId="19" fillId="0" borderId="34" xfId="34" applyNumberFormat="1" applyFont="1" applyFill="1" applyBorder="1" applyAlignment="1" applyProtection="1">
      <alignment horizontal="left" vertical="center" wrapText="1"/>
      <protection locked="0"/>
    </xf>
    <xf numFmtId="1" fontId="19" fillId="0" borderId="17" xfId="34" applyNumberFormat="1" applyFont="1" applyFill="1" applyBorder="1" applyAlignment="1" applyProtection="1">
      <alignment horizontal="left" vertical="center" wrapText="1"/>
      <protection locked="0"/>
    </xf>
    <xf numFmtId="0" fontId="19" fillId="0" borderId="10" xfId="34" applyFont="1" applyFill="1" applyBorder="1" applyAlignment="1" applyProtection="1">
      <alignment horizontal="center" vertical="center" wrapText="1"/>
      <protection locked="0"/>
    </xf>
    <xf numFmtId="0" fontId="17" fillId="0" borderId="18" xfId="34" applyFont="1" applyFill="1" applyBorder="1" applyAlignment="1" applyProtection="1">
      <alignment horizontal="left" vertical="center" wrapText="1"/>
      <protection locked="0"/>
    </xf>
    <xf numFmtId="0" fontId="17" fillId="0" borderId="17" xfId="34" applyFont="1" applyFill="1" applyBorder="1" applyAlignment="1" applyProtection="1">
      <alignment horizontal="left" vertical="center" wrapText="1"/>
      <protection locked="0"/>
    </xf>
    <xf numFmtId="0" fontId="17" fillId="0" borderId="18" xfId="34" applyFont="1" applyFill="1" applyBorder="1" applyAlignment="1" applyProtection="1">
      <alignment horizontal="center" vertical="center" wrapText="1"/>
    </xf>
    <xf numFmtId="0" fontId="17" fillId="0" borderId="17" xfId="34" applyFont="1" applyFill="1" applyBorder="1" applyAlignment="1">
      <alignment horizontal="center" vertical="center" wrapText="1"/>
    </xf>
    <xf numFmtId="0" fontId="19" fillId="0" borderId="18" xfId="34" applyFont="1" applyFill="1" applyBorder="1" applyAlignment="1" applyProtection="1">
      <alignment horizontal="left" vertical="center" wrapText="1"/>
      <protection locked="0"/>
    </xf>
    <xf numFmtId="0" fontId="19" fillId="0" borderId="17" xfId="34" applyFont="1" applyFill="1" applyBorder="1" applyAlignment="1" applyProtection="1">
      <alignment horizontal="left" vertical="center" wrapText="1"/>
      <protection locked="0"/>
    </xf>
    <xf numFmtId="0" fontId="19" fillId="0" borderId="11" xfId="34" applyFont="1" applyFill="1" applyBorder="1" applyAlignment="1" applyProtection="1">
      <alignment horizontal="center" vertical="center" wrapText="1"/>
      <protection locked="0"/>
    </xf>
    <xf numFmtId="0" fontId="19" fillId="0" borderId="13" xfId="34" applyFont="1" applyFill="1" applyBorder="1" applyAlignment="1" applyProtection="1">
      <alignment horizontal="center" vertical="center" wrapText="1"/>
      <protection locked="0"/>
    </xf>
    <xf numFmtId="0" fontId="17" fillId="0" borderId="34" xfId="34" applyFont="1" applyFill="1" applyBorder="1" applyAlignment="1" applyProtection="1">
      <alignment horizontal="left" vertical="center" wrapText="1"/>
      <protection locked="0"/>
    </xf>
    <xf numFmtId="0" fontId="19" fillId="0" borderId="34" xfId="34" applyFont="1" applyFill="1" applyBorder="1" applyAlignment="1" applyProtection="1">
      <alignment horizontal="left" vertical="center" wrapText="1"/>
      <protection locked="0"/>
    </xf>
    <xf numFmtId="1" fontId="19" fillId="21" borderId="10" xfId="34" applyNumberFormat="1" applyFont="1" applyFill="1" applyBorder="1" applyAlignment="1" applyProtection="1">
      <alignment horizontal="left" vertical="center" wrapText="1"/>
      <protection locked="0"/>
    </xf>
    <xf numFmtId="0" fontId="19" fillId="21" borderId="10" xfId="34" applyFont="1" applyFill="1" applyBorder="1" applyAlignment="1">
      <alignment horizontal="left" wrapText="1"/>
    </xf>
    <xf numFmtId="0" fontId="19" fillId="0" borderId="11" xfId="34" applyFont="1" applyFill="1" applyBorder="1" applyAlignment="1">
      <alignment horizontal="center" vertical="center" wrapText="1"/>
    </xf>
    <xf numFmtId="0" fontId="17" fillId="0" borderId="10" xfId="34" applyFont="1" applyFill="1" applyBorder="1" applyAlignment="1">
      <alignment horizontal="left" wrapText="1"/>
    </xf>
    <xf numFmtId="49" fontId="17" fillId="0" borderId="10" xfId="34" applyNumberFormat="1" applyFont="1" applyFill="1" applyBorder="1" applyAlignment="1">
      <alignment horizontal="center" vertical="top"/>
    </xf>
    <xf numFmtId="49" fontId="17" fillId="0" borderId="11" xfId="34" applyNumberFormat="1" applyFont="1" applyFill="1" applyBorder="1" applyAlignment="1">
      <alignment vertical="center" wrapText="1" shrinkToFit="1"/>
    </xf>
    <xf numFmtId="49" fontId="17" fillId="0" borderId="13" xfId="34" applyNumberFormat="1" applyFont="1" applyFill="1" applyBorder="1" applyAlignment="1">
      <alignment vertical="center" wrapText="1" shrinkToFit="1"/>
    </xf>
    <xf numFmtId="0" fontId="18" fillId="22" borderId="10" xfId="54" applyFont="1" applyFill="1" applyBorder="1" applyAlignment="1" applyProtection="1">
      <alignment horizontal="center" vertical="center" wrapText="1"/>
    </xf>
    <xf numFmtId="1" fontId="17" fillId="0" borderId="18" xfId="34" applyNumberFormat="1" applyFont="1" applyFill="1" applyBorder="1" applyAlignment="1">
      <alignment horizontal="center" vertical="center" wrapText="1"/>
    </xf>
    <xf numFmtId="1" fontId="17" fillId="0" borderId="34" xfId="34" applyNumberFormat="1" applyFont="1" applyFill="1" applyBorder="1" applyAlignment="1">
      <alignment horizontal="center" vertical="center" wrapText="1"/>
    </xf>
    <xf numFmtId="1" fontId="17" fillId="0" borderId="17" xfId="34" applyNumberFormat="1" applyFont="1" applyFill="1" applyBorder="1" applyAlignment="1">
      <alignment horizontal="center" vertical="center" wrapText="1"/>
    </xf>
    <xf numFmtId="0" fontId="17" fillId="0" borderId="10" xfId="34" applyFont="1" applyFill="1" applyBorder="1" applyAlignment="1">
      <alignment horizontal="center" vertical="center" wrapText="1"/>
    </xf>
    <xf numFmtId="49" fontId="17" fillId="0" borderId="10" xfId="34" applyNumberFormat="1" applyFont="1" applyFill="1" applyBorder="1" applyAlignment="1">
      <alignment horizontal="center" vertical="center" wrapText="1"/>
    </xf>
    <xf numFmtId="0" fontId="17" fillId="0" borderId="0" xfId="34" applyFont="1" applyAlignment="1">
      <alignment horizontal="left"/>
    </xf>
    <xf numFmtId="0" fontId="17" fillId="0" borderId="0" xfId="34" applyFont="1"/>
    <xf numFmtId="49" fontId="7" fillId="0" borderId="11" xfId="34" applyNumberFormat="1" applyFont="1" applyFill="1" applyBorder="1" applyAlignment="1">
      <alignment horizontal="center" vertical="top"/>
    </xf>
    <xf numFmtId="49" fontId="7" fillId="0" borderId="61" xfId="34" applyNumberFormat="1" applyFont="1" applyFill="1" applyBorder="1" applyAlignment="1">
      <alignment horizontal="center" vertical="top"/>
    </xf>
    <xf numFmtId="49" fontId="7" fillId="0" borderId="13" xfId="34" applyNumberFormat="1" applyFont="1" applyFill="1" applyBorder="1" applyAlignment="1">
      <alignment horizontal="center" vertical="top"/>
    </xf>
    <xf numFmtId="49" fontId="7" fillId="0" borderId="11" xfId="34" applyNumberFormat="1" applyFont="1" applyFill="1" applyBorder="1" applyAlignment="1">
      <alignment vertical="center" wrapText="1" shrinkToFit="1"/>
    </xf>
    <xf numFmtId="49" fontId="7" fillId="0" borderId="13" xfId="34" applyNumberFormat="1" applyFont="1" applyFill="1" applyBorder="1" applyAlignment="1">
      <alignment vertical="center" wrapText="1" shrinkToFit="1"/>
    </xf>
    <xf numFmtId="0" fontId="17" fillId="0" borderId="10" xfId="35" applyFont="1" applyFill="1" applyBorder="1" applyAlignment="1">
      <alignment horizontal="center" vertical="center" wrapText="1"/>
    </xf>
    <xf numFmtId="0" fontId="18" fillId="22" borderId="18" xfId="35" applyFont="1" applyFill="1" applyBorder="1" applyAlignment="1">
      <alignment horizontal="center" vertical="center" wrapText="1"/>
    </xf>
    <xf numFmtId="0" fontId="18" fillId="22" borderId="34" xfId="35" applyFont="1" applyFill="1" applyBorder="1" applyAlignment="1">
      <alignment horizontal="center" vertical="center" wrapText="1"/>
    </xf>
    <xf numFmtId="0" fontId="18" fillId="22" borderId="17" xfId="35" applyFont="1" applyFill="1" applyBorder="1" applyAlignment="1">
      <alignment horizontal="center" vertical="center" wrapText="1"/>
    </xf>
    <xf numFmtId="0" fontId="17" fillId="0" borderId="11" xfId="35" applyFont="1" applyFill="1" applyBorder="1" applyAlignment="1">
      <alignment horizontal="center" vertical="center" textRotation="90" wrapText="1"/>
    </xf>
    <xf numFmtId="0" fontId="17" fillId="0" borderId="13" xfId="35" applyFont="1" applyFill="1" applyBorder="1" applyAlignment="1">
      <alignment horizontal="center" vertical="center" textRotation="90" wrapText="1"/>
    </xf>
    <xf numFmtId="0" fontId="10" fillId="0" borderId="0" xfId="35" applyFont="1" applyFill="1" applyAlignment="1">
      <alignment horizontal="right"/>
    </xf>
    <xf numFmtId="0" fontId="18" fillId="22" borderId="10" xfId="35" applyFont="1" applyFill="1" applyBorder="1" applyAlignment="1">
      <alignment horizontal="center" vertical="center" wrapText="1"/>
    </xf>
    <xf numFmtId="0" fontId="17" fillId="0" borderId="18" xfId="35" applyFont="1" applyFill="1" applyBorder="1" applyAlignment="1">
      <alignment horizontal="center" vertical="center" wrapText="1"/>
    </xf>
    <xf numFmtId="0" fontId="17" fillId="0" borderId="34" xfId="35" applyFont="1" applyFill="1" applyBorder="1" applyAlignment="1">
      <alignment horizontal="center" vertical="center" wrapText="1"/>
    </xf>
    <xf numFmtId="0" fontId="17" fillId="0" borderId="17" xfId="35" applyFont="1" applyFill="1" applyBorder="1" applyAlignment="1">
      <alignment horizontal="center" vertical="center" wrapText="1"/>
    </xf>
    <xf numFmtId="0" fontId="17" fillId="0" borderId="0" xfId="34" applyFont="1" applyAlignment="1">
      <alignment horizontal="justify" vertical="top" wrapText="1"/>
    </xf>
    <xf numFmtId="0" fontId="17" fillId="20" borderId="58" xfId="56" applyFont="1" applyFill="1" applyBorder="1" applyAlignment="1">
      <alignment horizontal="center" vertical="center" wrapText="1"/>
    </xf>
    <xf numFmtId="0" fontId="17" fillId="20" borderId="59" xfId="56" applyFont="1" applyFill="1" applyBorder="1" applyAlignment="1">
      <alignment horizontal="center" vertical="center" wrapText="1"/>
    </xf>
    <xf numFmtId="0" fontId="17" fillId="20" borderId="60" xfId="56" applyFont="1" applyFill="1" applyBorder="1" applyAlignment="1">
      <alignment horizontal="center" vertical="center" wrapText="1"/>
    </xf>
    <xf numFmtId="0" fontId="18" fillId="22" borderId="11" xfId="34" applyFont="1" applyFill="1" applyBorder="1" applyAlignment="1">
      <alignment horizontal="center" vertical="center"/>
    </xf>
    <xf numFmtId="0" fontId="25" fillId="0" borderId="0" xfId="34" applyFont="1" applyFill="1" applyAlignment="1">
      <alignment horizontal="right"/>
    </xf>
    <xf numFmtId="0" fontId="17" fillId="0" borderId="47" xfId="59" applyFont="1" applyFill="1" applyBorder="1" applyAlignment="1">
      <alignment horizontal="center"/>
    </xf>
    <xf numFmtId="0" fontId="17" fillId="0" borderId="33" xfId="59" applyFont="1" applyFill="1" applyBorder="1" applyAlignment="1">
      <alignment horizontal="center"/>
    </xf>
    <xf numFmtId="0" fontId="17" fillId="0" borderId="73" xfId="59" applyFont="1" applyFill="1" applyBorder="1" applyAlignment="1">
      <alignment horizontal="center"/>
    </xf>
    <xf numFmtId="0" fontId="17" fillId="20" borderId="47" xfId="59" applyFont="1" applyFill="1" applyBorder="1" applyAlignment="1">
      <alignment horizontal="center"/>
    </xf>
    <xf numFmtId="0" fontId="17" fillId="20" borderId="33" xfId="59" applyFont="1" applyFill="1" applyBorder="1" applyAlignment="1">
      <alignment horizontal="center"/>
    </xf>
    <xf numFmtId="0" fontId="17" fillId="20" borderId="73" xfId="59" applyFont="1" applyFill="1" applyBorder="1" applyAlignment="1">
      <alignment horizontal="center"/>
    </xf>
    <xf numFmtId="0" fontId="17" fillId="20" borderId="47" xfId="56" applyFont="1" applyFill="1" applyBorder="1" applyAlignment="1">
      <alignment horizontal="center" vertical="center" wrapText="1"/>
    </xf>
    <xf numFmtId="0" fontId="17" fillId="20" borderId="33" xfId="36" applyFont="1" applyFill="1" applyBorder="1" applyAlignment="1">
      <alignment horizontal="center" vertical="center" wrapText="1"/>
    </xf>
    <xf numFmtId="0" fontId="17" fillId="20" borderId="73" xfId="36" applyFont="1" applyFill="1" applyBorder="1" applyAlignment="1">
      <alignment horizontal="center" vertical="center" wrapText="1"/>
    </xf>
    <xf numFmtId="0" fontId="17" fillId="0" borderId="0" xfId="34" applyFont="1" applyFill="1" applyAlignment="1" applyProtection="1">
      <alignment horizontal="left"/>
    </xf>
    <xf numFmtId="0" fontId="17" fillId="0" borderId="61" xfId="34" applyFont="1" applyFill="1" applyBorder="1" applyAlignment="1" applyProtection="1">
      <alignment horizontal="center" vertical="center" wrapText="1"/>
    </xf>
    <xf numFmtId="0" fontId="26" fillId="0" borderId="0" xfId="34" applyFont="1" applyFill="1" applyAlignment="1">
      <alignment horizontal="right"/>
    </xf>
    <xf numFmtId="0" fontId="18" fillId="22" borderId="25" xfId="34" applyNumberFormat="1" applyFont="1" applyFill="1" applyBorder="1" applyAlignment="1" applyProtection="1">
      <alignment horizontal="center" vertical="center" wrapText="1"/>
    </xf>
    <xf numFmtId="0" fontId="18" fillId="22" borderId="12" xfId="34" applyNumberFormat="1" applyFont="1" applyFill="1" applyBorder="1" applyAlignment="1" applyProtection="1">
      <alignment horizontal="center" vertical="center" wrapText="1"/>
    </xf>
    <xf numFmtId="0" fontId="18" fillId="22" borderId="55" xfId="34" applyNumberFormat="1" applyFont="1" applyFill="1" applyBorder="1" applyAlignment="1" applyProtection="1">
      <alignment horizontal="center" vertical="center" wrapText="1"/>
    </xf>
    <xf numFmtId="0" fontId="18" fillId="22" borderId="14" xfId="34" applyFont="1" applyFill="1" applyBorder="1" applyAlignment="1" applyProtection="1">
      <alignment horizontal="center" vertical="center"/>
    </xf>
    <xf numFmtId="0" fontId="18" fillId="22" borderId="15" xfId="34" applyFont="1" applyFill="1" applyBorder="1" applyAlignment="1" applyProtection="1">
      <alignment horizontal="center" vertical="center"/>
    </xf>
    <xf numFmtId="0" fontId="18" fillId="22" borderId="16" xfId="34" applyFont="1" applyFill="1" applyBorder="1" applyAlignment="1" applyProtection="1">
      <alignment horizontal="center" vertical="center"/>
    </xf>
    <xf numFmtId="0" fontId="17" fillId="0" borderId="34" xfId="34" applyFont="1" applyFill="1" applyBorder="1" applyAlignment="1" applyProtection="1">
      <alignment horizontal="center" vertical="center" wrapText="1"/>
    </xf>
    <xf numFmtId="0" fontId="17" fillId="0" borderId="17" xfId="34" applyFont="1" applyFill="1" applyBorder="1" applyAlignment="1" applyProtection="1">
      <alignment horizontal="center" vertical="center" wrapText="1"/>
    </xf>
    <xf numFmtId="0" fontId="19" fillId="21" borderId="18" xfId="34" applyNumberFormat="1" applyFont="1" applyFill="1" applyBorder="1" applyAlignment="1" applyProtection="1">
      <alignment horizontal="center" vertical="center" wrapText="1"/>
    </xf>
    <xf numFmtId="0" fontId="19" fillId="21" borderId="17" xfId="34" applyNumberFormat="1" applyFont="1" applyFill="1" applyBorder="1" applyAlignment="1" applyProtection="1">
      <alignment horizontal="center" vertical="center" wrapText="1"/>
    </xf>
    <xf numFmtId="0" fontId="17" fillId="0" borderId="10" xfId="34" applyFont="1" applyFill="1" applyBorder="1" applyAlignment="1" applyProtection="1">
      <alignment horizontal="center" vertical="center"/>
      <protection locked="0"/>
    </xf>
    <xf numFmtId="49" fontId="19" fillId="25" borderId="18" xfId="36" applyNumberFormat="1" applyFont="1" applyFill="1" applyBorder="1" applyAlignment="1" applyProtection="1">
      <alignment horizontal="center" vertical="center" wrapText="1"/>
    </xf>
    <xf numFmtId="49" fontId="19" fillId="25" borderId="34" xfId="36" applyNumberFormat="1" applyFont="1" applyFill="1" applyBorder="1" applyAlignment="1" applyProtection="1">
      <alignment horizontal="center" vertical="center" wrapText="1"/>
    </xf>
    <xf numFmtId="49" fontId="19" fillId="25" borderId="17" xfId="36" applyNumberFormat="1" applyFont="1" applyFill="1" applyBorder="1" applyAlignment="1" applyProtection="1">
      <alignment horizontal="center" vertical="center" wrapText="1"/>
    </xf>
    <xf numFmtId="49" fontId="17" fillId="0" borderId="11" xfId="36" applyNumberFormat="1" applyFont="1" applyFill="1" applyBorder="1" applyAlignment="1" applyProtection="1">
      <alignment horizontal="center" vertical="center" wrapText="1"/>
    </xf>
    <xf numFmtId="49" fontId="17" fillId="0" borderId="61" xfId="36" applyNumberFormat="1" applyFont="1" applyFill="1" applyBorder="1" applyAlignment="1" applyProtection="1">
      <alignment horizontal="center" vertical="center" wrapText="1"/>
    </xf>
    <xf numFmtId="49" fontId="17" fillId="0" borderId="13" xfId="36" applyNumberFormat="1" applyFont="1" applyFill="1" applyBorder="1" applyAlignment="1" applyProtection="1">
      <alignment horizontal="center" vertical="center" wrapText="1"/>
    </xf>
    <xf numFmtId="49" fontId="19" fillId="0" borderId="18" xfId="36" applyNumberFormat="1" applyFont="1" applyFill="1" applyBorder="1" applyAlignment="1" applyProtection="1">
      <alignment horizontal="center" vertical="center" wrapText="1"/>
    </xf>
    <xf numFmtId="49" fontId="19" fillId="0" borderId="17" xfId="36" applyNumberFormat="1" applyFont="1" applyFill="1" applyBorder="1" applyAlignment="1" applyProtection="1">
      <alignment horizontal="center" vertical="center" wrapText="1"/>
    </xf>
    <xf numFmtId="49" fontId="19" fillId="0" borderId="10" xfId="36" applyNumberFormat="1" applyFont="1" applyFill="1" applyBorder="1" applyAlignment="1" applyProtection="1">
      <alignment horizontal="center" vertical="center" wrapText="1"/>
    </xf>
    <xf numFmtId="49" fontId="19" fillId="0" borderId="25" xfId="36" applyNumberFormat="1" applyFont="1" applyFill="1" applyBorder="1" applyAlignment="1" applyProtection="1">
      <alignment horizontal="center" vertical="center" wrapText="1"/>
    </xf>
    <xf numFmtId="49" fontId="19" fillId="0" borderId="55" xfId="36" applyNumberFormat="1" applyFont="1" applyFill="1" applyBorder="1" applyAlignment="1" applyProtection="1">
      <alignment horizontal="center" vertical="center" wrapText="1"/>
    </xf>
    <xf numFmtId="0" fontId="16" fillId="0" borderId="0" xfId="34" applyFont="1" applyFill="1" applyAlignment="1">
      <alignment horizontal="right"/>
    </xf>
    <xf numFmtId="0" fontId="17" fillId="0" borderId="25" xfId="34" applyFont="1" applyFill="1" applyBorder="1" applyAlignment="1" applyProtection="1">
      <alignment horizontal="center" vertical="center" wrapText="1"/>
    </xf>
    <xf numFmtId="0" fontId="17" fillId="0" borderId="55" xfId="34" applyFont="1" applyFill="1" applyBorder="1" applyAlignment="1" applyProtection="1">
      <alignment horizontal="center" vertical="center" wrapText="1"/>
    </xf>
    <xf numFmtId="0" fontId="17" fillId="0" borderId="72" xfId="34" applyFont="1" applyFill="1" applyBorder="1" applyAlignment="1" applyProtection="1">
      <alignment horizontal="center" vertical="center" wrapText="1"/>
    </xf>
    <xf numFmtId="0" fontId="17" fillId="0" borderId="32" xfId="34" applyFont="1" applyFill="1" applyBorder="1" applyAlignment="1" applyProtection="1">
      <alignment horizontal="center" vertical="center" wrapText="1"/>
    </xf>
    <xf numFmtId="0" fontId="17" fillId="0" borderId="14" xfId="34" applyFont="1" applyFill="1" applyBorder="1" applyAlignment="1" applyProtection="1">
      <alignment horizontal="center" vertical="center" wrapText="1"/>
    </xf>
    <xf numFmtId="0" fontId="17" fillId="0" borderId="16" xfId="34" applyFont="1" applyFill="1" applyBorder="1" applyAlignment="1" applyProtection="1">
      <alignment horizontal="center" vertical="center" wrapText="1"/>
    </xf>
    <xf numFmtId="1" fontId="19" fillId="0" borderId="10" xfId="34" applyNumberFormat="1" applyFont="1" applyFill="1" applyBorder="1" applyAlignment="1" applyProtection="1">
      <alignment horizontal="center" vertical="center" wrapText="1"/>
      <protection locked="0"/>
    </xf>
    <xf numFmtId="0" fontId="17" fillId="0" borderId="55" xfId="34" applyFont="1" applyFill="1" applyBorder="1" applyAlignment="1" applyProtection="1">
      <alignment horizontal="center" vertical="center" wrapText="1"/>
      <protection locked="0"/>
    </xf>
    <xf numFmtId="0" fontId="17" fillId="0" borderId="14" xfId="34" applyFont="1" applyFill="1" applyBorder="1" applyAlignment="1" applyProtection="1">
      <alignment horizontal="center" vertical="center" wrapText="1"/>
      <protection locked="0"/>
    </xf>
    <xf numFmtId="0" fontId="17" fillId="0" borderId="16" xfId="34" applyFont="1" applyFill="1" applyBorder="1" applyAlignment="1" applyProtection="1">
      <alignment horizontal="center" vertical="center" wrapText="1"/>
      <protection locked="0"/>
    </xf>
    <xf numFmtId="49" fontId="17" fillId="0" borderId="10" xfId="36" applyNumberFormat="1" applyFont="1" applyFill="1" applyBorder="1" applyAlignment="1" applyProtection="1">
      <alignment horizontal="center" vertical="center" wrapText="1"/>
    </xf>
    <xf numFmtId="49" fontId="19" fillId="21" borderId="10" xfId="36" applyNumberFormat="1" applyFont="1" applyFill="1" applyBorder="1" applyAlignment="1" applyProtection="1">
      <alignment horizontal="center" vertical="center" wrapText="1"/>
    </xf>
    <xf numFmtId="0" fontId="17" fillId="0" borderId="0" xfId="36" applyFont="1" applyFill="1" applyProtection="1"/>
    <xf numFmtId="0" fontId="17" fillId="0" borderId="0" xfId="36" applyFont="1" applyFill="1" applyAlignment="1" applyProtection="1">
      <alignment horizontal="left"/>
    </xf>
    <xf numFmtId="0" fontId="18" fillId="22" borderId="10" xfId="36" applyFont="1" applyFill="1" applyBorder="1" applyAlignment="1" applyProtection="1">
      <alignment horizontal="center" vertical="center" wrapText="1"/>
    </xf>
    <xf numFmtId="0" fontId="18" fillId="22" borderId="10" xfId="36" applyFont="1" applyFill="1" applyBorder="1" applyAlignment="1" applyProtection="1">
      <alignment horizontal="center" vertical="center"/>
    </xf>
    <xf numFmtId="0" fontId="17" fillId="0" borderId="10" xfId="36" applyFont="1" applyFill="1" applyBorder="1" applyAlignment="1" applyProtection="1">
      <alignment horizontal="center" vertical="center" wrapText="1"/>
      <protection locked="0"/>
    </xf>
    <xf numFmtId="0" fontId="17" fillId="0" borderId="10" xfId="36" applyFont="1" applyFill="1" applyBorder="1" applyAlignment="1" applyProtection="1">
      <alignment horizontal="center" vertical="center"/>
    </xf>
    <xf numFmtId="0" fontId="17" fillId="0" borderId="10" xfId="34" applyFont="1" applyFill="1" applyBorder="1" applyAlignment="1" applyProtection="1">
      <alignment horizontal="left" vertical="center" wrapText="1"/>
    </xf>
    <xf numFmtId="0" fontId="19" fillId="0" borderId="10" xfId="34" applyFont="1" applyFill="1" applyBorder="1" applyAlignment="1" applyProtection="1">
      <alignment horizontal="center" vertical="center" wrapText="1"/>
    </xf>
    <xf numFmtId="0" fontId="19" fillId="21" borderId="10" xfId="34" applyFont="1" applyFill="1" applyBorder="1" applyAlignment="1" applyProtection="1">
      <alignment horizontal="center" vertical="center" wrapText="1"/>
    </xf>
    <xf numFmtId="49" fontId="19" fillId="0" borderId="10" xfId="34" applyNumberFormat="1" applyFont="1" applyFill="1" applyBorder="1" applyAlignment="1" applyProtection="1">
      <alignment horizontal="center" vertical="center" wrapText="1"/>
    </xf>
    <xf numFmtId="49" fontId="17" fillId="0" borderId="10" xfId="34" applyNumberFormat="1" applyFont="1" applyFill="1" applyBorder="1" applyAlignment="1" applyProtection="1">
      <alignment horizontal="center" vertical="center" wrapText="1"/>
    </xf>
    <xf numFmtId="0" fontId="17" fillId="0" borderId="10" xfId="34" applyFont="1" applyFill="1" applyBorder="1" applyAlignment="1" applyProtection="1">
      <alignment horizontal="left" vertical="center" wrapText="1" indent="6"/>
    </xf>
    <xf numFmtId="0" fontId="17" fillId="22" borderId="10" xfId="34" applyFont="1" applyFill="1" applyBorder="1" applyAlignment="1" applyProtection="1">
      <alignment horizontal="center" vertical="center" wrapText="1"/>
    </xf>
    <xf numFmtId="0" fontId="19" fillId="21" borderId="18" xfId="34" applyFont="1" applyFill="1" applyBorder="1" applyAlignment="1" applyProtection="1">
      <alignment horizontal="center" vertical="center" wrapText="1"/>
    </xf>
    <xf numFmtId="0" fontId="19" fillId="21" borderId="17" xfId="34" applyFont="1" applyFill="1" applyBorder="1" applyAlignment="1" applyProtection="1">
      <alignment horizontal="center" vertical="center" wrapText="1"/>
    </xf>
    <xf numFmtId="1" fontId="17" fillId="0" borderId="10" xfId="34" applyNumberFormat="1" applyFont="1" applyFill="1" applyBorder="1" applyAlignment="1" applyProtection="1">
      <alignment horizontal="center" vertical="center" wrapText="1"/>
      <protection locked="0"/>
    </xf>
    <xf numFmtId="0" fontId="17" fillId="0" borderId="0" xfId="36" applyFont="1" applyAlignment="1">
      <alignment horizontal="left"/>
    </xf>
    <xf numFmtId="0" fontId="19" fillId="21" borderId="10" xfId="34" applyFont="1" applyFill="1" applyBorder="1" applyAlignment="1">
      <alignment horizontal="center"/>
    </xf>
    <xf numFmtId="0" fontId="18" fillId="22" borderId="18" xfId="34" applyFont="1" applyFill="1" applyBorder="1" applyAlignment="1">
      <alignment horizontal="center" vertical="center"/>
    </xf>
    <xf numFmtId="0" fontId="18" fillId="22" borderId="34" xfId="34" applyFont="1" applyFill="1" applyBorder="1" applyAlignment="1">
      <alignment horizontal="center" vertical="center"/>
    </xf>
    <xf numFmtId="0" fontId="18" fillId="22" borderId="17" xfId="34" applyFont="1" applyFill="1" applyBorder="1" applyAlignment="1">
      <alignment horizontal="center" vertical="center"/>
    </xf>
    <xf numFmtId="0" fontId="22" fillId="0" borderId="18" xfId="36" applyFont="1" applyFill="1" applyBorder="1" applyAlignment="1" applyProtection="1">
      <alignment horizontal="left" vertical="center" wrapText="1"/>
    </xf>
    <xf numFmtId="0" fontId="22" fillId="0" borderId="17" xfId="36" applyFont="1" applyFill="1" applyBorder="1" applyAlignment="1" applyProtection="1">
      <alignment horizontal="left" vertical="center" wrapText="1"/>
    </xf>
    <xf numFmtId="0" fontId="36" fillId="0" borderId="10" xfId="34" applyFont="1" applyFill="1" applyBorder="1" applyAlignment="1" applyProtection="1">
      <alignment horizontal="left" vertical="center" wrapText="1"/>
    </xf>
    <xf numFmtId="0" fontId="17" fillId="0" borderId="18" xfId="36" applyFont="1" applyFill="1" applyBorder="1" applyAlignment="1" applyProtection="1">
      <alignment horizontal="center" vertical="center" wrapText="1"/>
    </xf>
    <xf numFmtId="0" fontId="17" fillId="0" borderId="17" xfId="36" applyFont="1" applyFill="1" applyBorder="1" applyAlignment="1" applyProtection="1">
      <alignment horizontal="center" vertical="center" wrapText="1"/>
    </xf>
    <xf numFmtId="0" fontId="36" fillId="0" borderId="18" xfId="34" applyFont="1" applyFill="1" applyBorder="1" applyAlignment="1" applyProtection="1">
      <alignment horizontal="left" vertical="center" wrapText="1"/>
    </xf>
    <xf numFmtId="0" fontId="36" fillId="0" borderId="17" xfId="34" applyFont="1" applyFill="1" applyBorder="1" applyAlignment="1" applyProtection="1">
      <alignment horizontal="left" vertical="center" wrapText="1"/>
    </xf>
    <xf numFmtId="0" fontId="36" fillId="0" borderId="10" xfId="34" applyFont="1" applyFill="1" applyBorder="1" applyAlignment="1" applyProtection="1">
      <alignment horizontal="center" vertical="center" wrapText="1"/>
    </xf>
    <xf numFmtId="0" fontId="19" fillId="21" borderId="10" xfId="34" applyFont="1" applyFill="1" applyBorder="1" applyAlignment="1" applyProtection="1">
      <alignment horizontal="center" vertical="center" wrapText="1"/>
      <protection locked="0"/>
    </xf>
    <xf numFmtId="0" fontId="17" fillId="0" borderId="10" xfId="36" applyFont="1" applyFill="1" applyBorder="1" applyAlignment="1">
      <alignment horizontal="center" vertical="center" wrapText="1"/>
    </xf>
    <xf numFmtId="0" fontId="17" fillId="0" borderId="11" xfId="36" applyFont="1" applyFill="1" applyBorder="1" applyAlignment="1">
      <alignment horizontal="center" vertical="center" wrapText="1"/>
    </xf>
    <xf numFmtId="0" fontId="17" fillId="0" borderId="61" xfId="36" applyFont="1" applyFill="1" applyBorder="1" applyAlignment="1">
      <alignment horizontal="center" vertical="center" wrapText="1"/>
    </xf>
    <xf numFmtId="0" fontId="17" fillId="0" borderId="13" xfId="36" applyFont="1" applyFill="1" applyBorder="1" applyAlignment="1">
      <alignment horizontal="center" vertical="center" wrapText="1"/>
    </xf>
    <xf numFmtId="0" fontId="19" fillId="22" borderId="18" xfId="36" applyFont="1" applyFill="1" applyBorder="1" applyAlignment="1">
      <alignment horizontal="left"/>
    </xf>
    <xf numFmtId="0" fontId="19" fillId="22" borderId="34" xfId="36" applyFont="1" applyFill="1" applyBorder="1" applyAlignment="1">
      <alignment horizontal="left"/>
    </xf>
    <xf numFmtId="0" fontId="19" fillId="22" borderId="17" xfId="36" applyFont="1" applyFill="1" applyBorder="1" applyAlignment="1">
      <alignment horizontal="left"/>
    </xf>
    <xf numFmtId="0" fontId="28" fillId="21" borderId="18" xfId="36" applyFont="1" applyFill="1" applyBorder="1" applyAlignment="1">
      <alignment horizontal="left" vertical="center"/>
    </xf>
    <xf numFmtId="0" fontId="28" fillId="21" borderId="34" xfId="36" applyFont="1" applyFill="1" applyBorder="1" applyAlignment="1">
      <alignment horizontal="left" vertical="center"/>
    </xf>
    <xf numFmtId="0" fontId="28" fillId="21" borderId="17" xfId="36" applyFont="1" applyFill="1" applyBorder="1" applyAlignment="1">
      <alignment horizontal="left" vertical="center"/>
    </xf>
    <xf numFmtId="0" fontId="19" fillId="21" borderId="10" xfId="62" applyFont="1" applyFill="1" applyBorder="1" applyAlignment="1">
      <alignment vertical="center" wrapText="1"/>
    </xf>
    <xf numFmtId="2" fontId="19" fillId="22" borderId="18" xfId="40" applyNumberFormat="1" applyFont="1" applyFill="1" applyBorder="1" applyAlignment="1">
      <alignment horizontal="left" wrapText="1"/>
    </xf>
    <xf numFmtId="2" fontId="19" fillId="22" borderId="17" xfId="40" applyNumberFormat="1" applyFont="1" applyFill="1" applyBorder="1" applyAlignment="1">
      <alignment horizontal="left" wrapText="1"/>
    </xf>
    <xf numFmtId="0" fontId="19" fillId="22" borderId="10" xfId="36" applyFont="1" applyFill="1" applyBorder="1" applyAlignment="1">
      <alignment horizontal="center" wrapText="1"/>
    </xf>
    <xf numFmtId="0" fontId="22" fillId="0" borderId="11" xfId="36" applyFont="1" applyFill="1" applyBorder="1" applyAlignment="1">
      <alignment horizontal="center" vertical="center"/>
    </xf>
    <xf numFmtId="0" fontId="22" fillId="0" borderId="13" xfId="36" applyFont="1" applyFill="1" applyBorder="1" applyAlignment="1">
      <alignment horizontal="center" vertical="center"/>
    </xf>
    <xf numFmtId="0" fontId="29" fillId="22" borderId="18" xfId="36" applyFont="1" applyFill="1" applyBorder="1" applyAlignment="1">
      <alignment horizontal="left" vertical="center"/>
    </xf>
    <xf numFmtId="0" fontId="29" fillId="22" borderId="34" xfId="36" applyFont="1" applyFill="1" applyBorder="1" applyAlignment="1">
      <alignment horizontal="left" vertical="center"/>
    </xf>
    <xf numFmtId="0" fontId="29" fillId="22" borderId="17" xfId="36" applyFont="1" applyFill="1" applyBorder="1" applyAlignment="1">
      <alignment horizontal="left" vertical="center"/>
    </xf>
    <xf numFmtId="0" fontId="28" fillId="21" borderId="18" xfId="36" applyFont="1" applyFill="1" applyBorder="1" applyAlignment="1">
      <alignment vertical="center"/>
    </xf>
    <xf numFmtId="0" fontId="28" fillId="21" borderId="34" xfId="36" applyFont="1" applyFill="1" applyBorder="1" applyAlignment="1">
      <alignment vertical="center"/>
    </xf>
    <xf numFmtId="0" fontId="28" fillId="21" borderId="17" xfId="36" applyFont="1" applyFill="1" applyBorder="1" applyAlignment="1">
      <alignment vertical="center"/>
    </xf>
    <xf numFmtId="0" fontId="19" fillId="22" borderId="18" xfId="65" applyFont="1" applyFill="1" applyBorder="1" applyAlignment="1" applyProtection="1">
      <alignment horizontal="left" vertical="center" wrapText="1"/>
    </xf>
    <xf numFmtId="0" fontId="19" fillId="22" borderId="34" xfId="65" applyFont="1" applyFill="1" applyBorder="1" applyAlignment="1" applyProtection="1">
      <alignment horizontal="left" vertical="center" wrapText="1"/>
    </xf>
    <xf numFmtId="0" fontId="19" fillId="22" borderId="17" xfId="65" applyFont="1" applyFill="1" applyBorder="1" applyAlignment="1" applyProtection="1">
      <alignment horizontal="left" vertical="center" wrapText="1"/>
    </xf>
    <xf numFmtId="0" fontId="28" fillId="21" borderId="10" xfId="36" applyFont="1" applyFill="1" applyBorder="1" applyAlignment="1">
      <alignment vertical="center"/>
    </xf>
    <xf numFmtId="0" fontId="19" fillId="18" borderId="18" xfId="36" applyFont="1" applyFill="1" applyBorder="1" applyAlignment="1">
      <alignment horizontal="left"/>
    </xf>
    <xf numFmtId="0" fontId="19" fillId="18" borderId="34" xfId="36" applyFont="1" applyFill="1" applyBorder="1" applyAlignment="1">
      <alignment horizontal="left"/>
    </xf>
    <xf numFmtId="0" fontId="19" fillId="18" borderId="17" xfId="36" applyFont="1" applyFill="1" applyBorder="1" applyAlignment="1">
      <alignment horizontal="left"/>
    </xf>
    <xf numFmtId="0" fontId="19" fillId="25" borderId="10" xfId="36" applyFont="1" applyFill="1" applyBorder="1" applyAlignment="1">
      <alignment vertical="center"/>
    </xf>
    <xf numFmtId="0" fontId="17" fillId="0" borderId="0" xfId="36" applyFont="1" applyFill="1"/>
    <xf numFmtId="0" fontId="31" fillId="0" borderId="0" xfId="36" applyFont="1" applyAlignment="1">
      <alignment horizontal="center"/>
    </xf>
    <xf numFmtId="0" fontId="17" fillId="0" borderId="18" xfId="34" applyFont="1" applyFill="1" applyBorder="1" applyAlignment="1">
      <alignment horizontal="center" vertical="center" wrapText="1"/>
    </xf>
    <xf numFmtId="0" fontId="17" fillId="0" borderId="34" xfId="34" applyFont="1" applyFill="1" applyBorder="1" applyAlignment="1">
      <alignment horizontal="center" vertical="center" wrapText="1"/>
    </xf>
    <xf numFmtId="0" fontId="18" fillId="0" borderId="18" xfId="34" applyFont="1" applyFill="1" applyBorder="1" applyAlignment="1" applyProtection="1">
      <alignment horizontal="center" vertical="center" wrapText="1"/>
    </xf>
    <xf numFmtId="0" fontId="18" fillId="0" borderId="34" xfId="34" applyFont="1" applyFill="1" applyBorder="1" applyAlignment="1" applyProtection="1">
      <alignment horizontal="center" vertical="center" wrapText="1"/>
    </xf>
    <xf numFmtId="0" fontId="18" fillId="0" borderId="17" xfId="34" applyFont="1" applyFill="1" applyBorder="1" applyAlignment="1" applyProtection="1">
      <alignment horizontal="center" vertical="center" wrapText="1"/>
    </xf>
    <xf numFmtId="0" fontId="17" fillId="0" borderId="11" xfId="34" applyFont="1" applyFill="1" applyBorder="1" applyAlignment="1">
      <alignment horizontal="center" vertical="center" wrapText="1"/>
    </xf>
    <xf numFmtId="0" fontId="17" fillId="0" borderId="61" xfId="34" applyFont="1" applyFill="1" applyBorder="1" applyAlignment="1">
      <alignment horizontal="center" vertical="center" wrapText="1"/>
    </xf>
    <xf numFmtId="0" fontId="17" fillId="0" borderId="13" xfId="34" applyFont="1" applyFill="1" applyBorder="1" applyAlignment="1">
      <alignment horizontal="center" vertical="center" wrapText="1"/>
    </xf>
    <xf numFmtId="0" fontId="19" fillId="0" borderId="10" xfId="34" applyFont="1" applyFill="1" applyBorder="1" applyAlignment="1">
      <alignment vertical="center"/>
    </xf>
    <xf numFmtId="0" fontId="19" fillId="0" borderId="18" xfId="34" applyFont="1" applyFill="1" applyBorder="1" applyAlignment="1">
      <alignment horizontal="left"/>
    </xf>
    <xf numFmtId="0" fontId="19" fillId="0" borderId="34" xfId="34" applyFont="1" applyFill="1" applyBorder="1" applyAlignment="1">
      <alignment horizontal="left"/>
    </xf>
    <xf numFmtId="0" fontId="19" fillId="0" borderId="17" xfId="34" applyFont="1" applyFill="1" applyBorder="1" applyAlignment="1">
      <alignment horizontal="left"/>
    </xf>
    <xf numFmtId="0" fontId="19" fillId="0" borderId="18" xfId="34" applyFont="1" applyFill="1" applyBorder="1" applyAlignment="1">
      <alignment horizontal="left" vertical="center"/>
    </xf>
    <xf numFmtId="0" fontId="19" fillId="0" borderId="34" xfId="34" applyFont="1" applyFill="1" applyBorder="1" applyAlignment="1">
      <alignment horizontal="left" vertical="center"/>
    </xf>
    <xf numFmtId="0" fontId="19" fillId="0" borderId="17" xfId="34" applyFont="1" applyFill="1" applyBorder="1" applyAlignment="1">
      <alignment horizontal="left" vertical="center"/>
    </xf>
    <xf numFmtId="0" fontId="19" fillId="0" borderId="18" xfId="34" applyFont="1" applyFill="1" applyBorder="1" applyAlignment="1">
      <alignment vertical="center"/>
    </xf>
    <xf numFmtId="0" fontId="19" fillId="0" borderId="34" xfId="34" applyFont="1" applyFill="1" applyBorder="1" applyAlignment="1">
      <alignment vertical="center"/>
    </xf>
    <xf numFmtId="0" fontId="19" fillId="0" borderId="17" xfId="34" applyFont="1" applyFill="1" applyBorder="1" applyAlignment="1">
      <alignment vertical="center"/>
    </xf>
  </cellXfs>
  <cellStyles count="70">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au?iue" xfId="34"/>
    <cellStyle name="Iau?iue 2" xfId="35"/>
    <cellStyle name="Iau?iue 2 2" xfId="36"/>
    <cellStyle name="Iau?iue 3" xfId="37"/>
    <cellStyle name="Iau?iue 4" xfId="38"/>
    <cellStyle name="Iau?iue_dodatok1K" xfId="39"/>
    <cellStyle name="Iau?iue_Пропозиції до ІП_2013 7 розділ" xfId="40"/>
    <cellStyle name="Iau?iue_табл 6  ІП_2015 І розділ по кв NKRЕ" xfId="41"/>
    <cellStyle name="Input" xfId="42"/>
    <cellStyle name="Linked Cell" xfId="43"/>
    <cellStyle name="Neutral" xfId="44"/>
    <cellStyle name="Note" xfId="45"/>
    <cellStyle name="Output" xfId="46"/>
    <cellStyle name="Title" xfId="47"/>
    <cellStyle name="Total" xfId="48"/>
    <cellStyle name="Warning Text" xfId="49"/>
    <cellStyle name="Звичайний_Аркуш2" xfId="50"/>
    <cellStyle name="Обычный" xfId="0" builtinId="0"/>
    <cellStyle name="Обычный 2" xfId="51"/>
    <cellStyle name="Обычный 3" xfId="52"/>
    <cellStyle name="Обычный_dodatok 1" xfId="53"/>
    <cellStyle name="Обычный_dodatok_ 1" xfId="54"/>
    <cellStyle name="Обычный_dodatok1" xfId="55"/>
    <cellStyle name="Обычный_IP_2008_Нова_форма_Оригинал" xfId="56"/>
    <cellStyle name="Обычный_IP_2008_Оригинал" xfId="57"/>
    <cellStyle name="Обычный_IP_2008_Оригинал_31199" xfId="58"/>
    <cellStyle name="Обычный_IP_2008_Оригинал_31199(2)" xfId="59"/>
    <cellStyle name="Обычный_nkre1" xfId="60"/>
    <cellStyle name="Обычный_Report_2010_32606_Квітень_Для_НКРЕ_120410" xfId="61"/>
    <cellStyle name="Обычный_Report_2010_32606_Січень" xfId="62"/>
    <cellStyle name="Обычный_ІП-2007 РЕ_Зменшена_Оригинал" xfId="63"/>
    <cellStyle name="Обычный_новий шаблон ф.132" xfId="64"/>
    <cellStyle name="Обычный_Проект_IP_2009_260608" xfId="65"/>
    <cellStyle name="Обычный_Проект_IP_2010_Rivneenergo" xfId="66"/>
    <cellStyle name="Процентный" xfId="67" builtinId="5"/>
    <cellStyle name="Процентный 2" xfId="68"/>
    <cellStyle name="Стиль 1" xfId="69"/>
  </cellStyles>
  <dxfs count="4">
    <dxf>
      <font>
        <condense val="0"/>
        <extend val="0"/>
        <color indexed="10"/>
      </font>
    </dxf>
    <dxf>
      <font>
        <b/>
        <i/>
        <condense val="0"/>
        <extend val="0"/>
        <color indexed="10"/>
      </font>
    </dxf>
    <dxf>
      <font>
        <b/>
        <i/>
        <condense val="0"/>
        <extend val="0"/>
        <color indexed="12"/>
      </font>
    </dxf>
    <dxf>
      <font>
        <b/>
        <i/>
        <condense val="0"/>
        <extend val="0"/>
        <color indexed="10"/>
      </font>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1009650</xdr:colOff>
      <xdr:row>4</xdr:row>
      <xdr:rowOff>28575</xdr:rowOff>
    </xdr:from>
    <xdr:to>
      <xdr:col>4</xdr:col>
      <xdr:colOff>933450</xdr:colOff>
      <xdr:row>12</xdr:row>
      <xdr:rowOff>152400</xdr:rowOff>
    </xdr:to>
    <xdr:pic>
      <xdr:nvPicPr>
        <xdr:cNvPr id="21505" name="Рисунок 1" descr="D:\Символіка\logo vector3.jpg"/>
        <xdr:cNvPicPr>
          <a:picLocks noChangeAspect="1" noChangeArrowheads="1"/>
        </xdr:cNvPicPr>
      </xdr:nvPicPr>
      <xdr:blipFill>
        <a:blip xmlns:r="http://schemas.openxmlformats.org/officeDocument/2006/relationships" r:embed="rId1" cstate="print"/>
        <a:srcRect l="4333" t="3436" r="50241" b="61168"/>
        <a:stretch>
          <a:fillRect/>
        </a:stretch>
      </xdr:blipFill>
      <xdr:spPr bwMode="auto">
        <a:xfrm>
          <a:off x="1009650" y="828675"/>
          <a:ext cx="3705225" cy="14954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Mykola.Pavliv/Application%20Data/Microsoft/Excel/Klumchuk/&#1030;&#1055;_2013%20(47576)%20%2012.04.13%20NKR&#1045;%20(version%2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4.6. Стан транспорту "/>
      <sheetName val="4.6.1. Аналіз списання"/>
      <sheetName val="4.6.2"/>
      <sheetName val="5. Загальний опис робіт"/>
      <sheetName val="5.6. Транс"/>
      <sheetName val="6. Проведення закупівлі "/>
    </sheetNames>
    <sheetDataSet>
      <sheetData sheetId="0" refreshError="1"/>
      <sheetData sheetId="1" refreshError="1"/>
      <sheetData sheetId="2">
        <row r="7">
          <cell r="J7">
            <v>7.095269746316605</v>
          </cell>
        </row>
      </sheetData>
      <sheetData sheetId="3" refreshError="1"/>
      <sheetData sheetId="4" refreshError="1"/>
      <sheetData sheetId="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tabColor rgb="FF00B0F0"/>
  </sheetPr>
  <dimension ref="A1:H20"/>
  <sheetViews>
    <sheetView view="pageBreakPreview" zoomScale="115" zoomScaleNormal="100" zoomScaleSheetLayoutView="115" workbookViewId="0">
      <selection activeCell="G13" sqref="G13"/>
    </sheetView>
  </sheetViews>
  <sheetFormatPr defaultRowHeight="12.75"/>
  <cols>
    <col min="1" max="1" width="29.5703125" style="1" customWidth="1"/>
    <col min="2" max="2" width="3.5703125" style="1" customWidth="1"/>
    <col min="3" max="3" width="19.42578125" style="1" customWidth="1"/>
    <col min="4" max="4" width="4.140625" style="1" customWidth="1"/>
    <col min="5" max="5" width="16.5703125" style="1" customWidth="1"/>
    <col min="6" max="6" width="5.140625" style="1" customWidth="1"/>
    <col min="7" max="16384" width="9.140625" style="1"/>
  </cols>
  <sheetData>
    <row r="1" spans="1:8" s="32" customFormat="1" ht="15.75">
      <c r="A1" s="171"/>
      <c r="B1" s="171"/>
      <c r="C1" s="146"/>
      <c r="D1" s="146"/>
      <c r="E1" s="146"/>
      <c r="F1" s="172"/>
      <c r="G1" s="171"/>
    </row>
    <row r="2" spans="1:8" s="32" customFormat="1" ht="15.75" customHeight="1">
      <c r="A2" s="171"/>
      <c r="B2" s="171"/>
      <c r="C2" s="955"/>
      <c r="D2" s="955"/>
      <c r="E2" s="955"/>
      <c r="F2" s="955"/>
      <c r="G2" s="955"/>
    </row>
    <row r="3" spans="1:8" s="32" customFormat="1" ht="15.75" customHeight="1">
      <c r="A3" s="171"/>
      <c r="B3" s="171"/>
      <c r="C3" s="33"/>
      <c r="D3" s="35"/>
      <c r="E3" s="35"/>
      <c r="F3" s="35"/>
      <c r="G3" s="171"/>
    </row>
    <row r="4" spans="1:8" s="32" customFormat="1" ht="15.75" customHeight="1">
      <c r="A4" s="171"/>
      <c r="B4" s="171"/>
      <c r="C4" s="956"/>
      <c r="D4" s="956"/>
      <c r="E4" s="956"/>
      <c r="F4" s="956"/>
      <c r="G4" s="171"/>
    </row>
    <row r="5" spans="1:8" s="32" customFormat="1" ht="15.75" customHeight="1">
      <c r="A5" s="171"/>
      <c r="B5" s="171"/>
      <c r="C5" s="33"/>
      <c r="D5" s="33"/>
      <c r="E5" s="33"/>
      <c r="F5" s="171"/>
      <c r="G5" s="171"/>
    </row>
    <row r="6" spans="1:8" s="32" customFormat="1" ht="15.75" customHeight="1">
      <c r="A6" s="171"/>
      <c r="B6" s="171"/>
      <c r="C6" s="13"/>
      <c r="D6" s="13"/>
      <c r="E6" s="171"/>
      <c r="F6" s="171"/>
      <c r="G6" s="171"/>
    </row>
    <row r="7" spans="1:8">
      <c r="H7" s="5"/>
    </row>
    <row r="17" spans="1:6" ht="21" thickBot="1">
      <c r="A17" s="948" t="s">
        <v>226</v>
      </c>
      <c r="B17" s="949"/>
      <c r="C17" s="949"/>
      <c r="D17" s="949"/>
      <c r="E17" s="949"/>
      <c r="F17" s="949"/>
    </row>
    <row r="18" spans="1:6" ht="25.5" customHeight="1" thickBot="1">
      <c r="A18" s="686" t="s">
        <v>139</v>
      </c>
      <c r="B18" s="950" t="s">
        <v>227</v>
      </c>
      <c r="C18" s="951"/>
      <c r="D18" s="951"/>
      <c r="E18" s="951"/>
      <c r="F18" s="952"/>
    </row>
    <row r="19" spans="1:6" ht="26.25" customHeight="1" thickBot="1">
      <c r="A19" s="148" t="s">
        <v>140</v>
      </c>
      <c r="B19" s="149" t="s">
        <v>74</v>
      </c>
      <c r="C19" s="687" t="s">
        <v>222</v>
      </c>
      <c r="D19" s="150" t="s">
        <v>142</v>
      </c>
      <c r="E19" s="953" t="s">
        <v>223</v>
      </c>
      <c r="F19" s="954"/>
    </row>
    <row r="20" spans="1:6" ht="23.25" customHeight="1" thickBot="1">
      <c r="A20" s="148" t="s">
        <v>141</v>
      </c>
      <c r="B20" s="149" t="s">
        <v>74</v>
      </c>
      <c r="C20" s="688" t="s">
        <v>224</v>
      </c>
      <c r="D20" s="150" t="s">
        <v>142</v>
      </c>
      <c r="E20" s="689" t="s">
        <v>225</v>
      </c>
      <c r="F20" s="151"/>
    </row>
  </sheetData>
  <mergeCells count="5">
    <mergeCell ref="A17:F17"/>
    <mergeCell ref="B18:F18"/>
    <mergeCell ref="E19:F19"/>
    <mergeCell ref="C2:G2"/>
    <mergeCell ref="C4:F4"/>
  </mergeCells>
  <phoneticPr fontId="2" type="noConversion"/>
  <pageMargins left="1.0629921259842521" right="0.39370078740157483" top="0.70866141732283472" bottom="0.98425196850393704" header="0.51181102362204722" footer="0.51181102362204722"/>
  <pageSetup paperSize="9" pageOrder="overThenDown"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Лист10">
    <tabColor rgb="FF00B0F0"/>
  </sheetPr>
  <dimension ref="A1:K21"/>
  <sheetViews>
    <sheetView view="pageLayout" zoomScaleNormal="100" workbookViewId="0">
      <selection activeCell="H12" sqref="H12"/>
    </sheetView>
  </sheetViews>
  <sheetFormatPr defaultRowHeight="12.75"/>
  <cols>
    <col min="1" max="1" width="18.7109375" style="7" customWidth="1"/>
    <col min="2" max="2" width="21.42578125" style="7" customWidth="1"/>
    <col min="3" max="3" width="20.5703125" style="7" customWidth="1"/>
    <col min="4" max="4" width="10.5703125" style="7" customWidth="1"/>
    <col min="5" max="5" width="14.140625" style="7" customWidth="1"/>
    <col min="6" max="6" width="13.85546875" style="7" customWidth="1"/>
    <col min="7" max="7" width="13.5703125" style="7" customWidth="1"/>
    <col min="8" max="8" width="15.7109375" style="7" customWidth="1"/>
    <col min="9" max="16384" width="9.140625" style="3"/>
  </cols>
  <sheetData>
    <row r="1" spans="1:11" s="94" customFormat="1" ht="18.75">
      <c r="A1" s="97"/>
      <c r="B1" s="97"/>
      <c r="D1" s="152"/>
      <c r="E1" s="97"/>
      <c r="F1" s="97"/>
      <c r="G1" s="97"/>
      <c r="H1" s="97"/>
    </row>
    <row r="2" spans="1:11" s="94" customFormat="1" ht="15.75">
      <c r="A2" s="97"/>
      <c r="B2" s="97"/>
      <c r="C2" s="97"/>
      <c r="D2" s="97"/>
      <c r="E2" s="97"/>
      <c r="F2" s="97"/>
      <c r="G2" s="959"/>
      <c r="H2" s="959"/>
      <c r="I2" s="146"/>
      <c r="J2" s="34"/>
      <c r="K2" s="32"/>
    </row>
    <row r="3" spans="1:11" s="94" customFormat="1" ht="15.75">
      <c r="A3" s="97"/>
      <c r="B3" s="97"/>
      <c r="C3" s="97"/>
      <c r="D3" s="97"/>
      <c r="E3" s="97"/>
      <c r="F3" s="97"/>
      <c r="G3" s="33"/>
      <c r="H3" s="35"/>
      <c r="I3" s="35"/>
      <c r="J3" s="35"/>
      <c r="K3" s="32"/>
    </row>
    <row r="4" spans="1:11" ht="31.5" customHeight="1">
      <c r="A4" s="1184" t="s">
        <v>1327</v>
      </c>
      <c r="B4" s="1185"/>
      <c r="C4" s="1185"/>
      <c r="D4" s="1185"/>
      <c r="E4" s="1185"/>
      <c r="F4" s="1185"/>
      <c r="G4" s="1185"/>
      <c r="H4" s="1186"/>
    </row>
    <row r="5" spans="1:11" ht="18" customHeight="1">
      <c r="A5" s="1187" t="s">
        <v>1592</v>
      </c>
      <c r="B5" s="1187" t="s">
        <v>124</v>
      </c>
      <c r="C5" s="1188" t="s">
        <v>123</v>
      </c>
      <c r="D5" s="1187" t="s">
        <v>1593</v>
      </c>
      <c r="E5" s="1187"/>
      <c r="F5" s="1187"/>
      <c r="G5" s="1187"/>
      <c r="H5" s="1187"/>
    </row>
    <row r="6" spans="1:11" ht="17.25" customHeight="1">
      <c r="A6" s="1187"/>
      <c r="B6" s="1187"/>
      <c r="C6" s="1189"/>
      <c r="D6" s="1187" t="s">
        <v>1589</v>
      </c>
      <c r="E6" s="1187" t="s">
        <v>1388</v>
      </c>
      <c r="F6" s="1187"/>
      <c r="G6" s="1187" t="s">
        <v>1389</v>
      </c>
      <c r="H6" s="1187"/>
    </row>
    <row r="7" spans="1:11" ht="34.5" customHeight="1">
      <c r="A7" s="1187"/>
      <c r="B7" s="1187"/>
      <c r="C7" s="1190"/>
      <c r="D7" s="1187"/>
      <c r="E7" s="87" t="s">
        <v>1390</v>
      </c>
      <c r="F7" s="87" t="s">
        <v>1391</v>
      </c>
      <c r="G7" s="87" t="s">
        <v>1594</v>
      </c>
      <c r="H7" s="87" t="s">
        <v>1595</v>
      </c>
    </row>
    <row r="8" spans="1:11" ht="15" customHeight="1">
      <c r="A8" s="243">
        <v>1</v>
      </c>
      <c r="B8" s="243">
        <v>2</v>
      </c>
      <c r="C8" s="243">
        <v>3</v>
      </c>
      <c r="D8" s="243">
        <v>4</v>
      </c>
      <c r="E8" s="243">
        <v>5</v>
      </c>
      <c r="F8" s="243">
        <v>6</v>
      </c>
      <c r="G8" s="243">
        <v>7</v>
      </c>
      <c r="H8" s="243">
        <v>8</v>
      </c>
    </row>
    <row r="9" spans="1:11" ht="15" customHeight="1">
      <c r="A9" s="809">
        <v>404604</v>
      </c>
      <c r="B9" s="809">
        <v>216190</v>
      </c>
      <c r="C9" s="473">
        <v>188326</v>
      </c>
      <c r="D9" s="809">
        <v>88</v>
      </c>
      <c r="E9" s="809">
        <v>152641</v>
      </c>
      <c r="F9" s="809">
        <v>36389</v>
      </c>
      <c r="G9" s="809">
        <v>215486</v>
      </c>
      <c r="H9" s="809">
        <v>0</v>
      </c>
    </row>
    <row r="10" spans="1:11">
      <c r="A10" s="120"/>
      <c r="B10" s="120"/>
      <c r="C10" s="120"/>
      <c r="D10" s="120"/>
      <c r="E10" s="120"/>
      <c r="F10" s="120"/>
      <c r="G10" s="120"/>
      <c r="H10" s="120"/>
    </row>
    <row r="11" spans="1:11">
      <c r="A11" s="6"/>
      <c r="B11" s="6"/>
      <c r="C11" s="6"/>
      <c r="D11" s="6"/>
      <c r="E11" s="6"/>
      <c r="F11" s="6"/>
      <c r="G11" s="6"/>
      <c r="H11" s="6"/>
    </row>
    <row r="12" spans="1:11">
      <c r="A12" s="6"/>
      <c r="B12" s="6"/>
      <c r="C12" s="6"/>
      <c r="D12" s="6"/>
      <c r="E12" s="6"/>
      <c r="F12" s="6"/>
      <c r="G12" s="6"/>
      <c r="H12" s="6"/>
    </row>
    <row r="13" spans="1:11">
      <c r="A13" s="6"/>
      <c r="B13" s="6"/>
      <c r="C13" s="6"/>
      <c r="D13" s="6"/>
      <c r="E13" s="6"/>
      <c r="F13" s="6"/>
      <c r="G13" s="6"/>
      <c r="H13" s="6"/>
    </row>
    <row r="14" spans="1:11">
      <c r="A14" s="6"/>
      <c r="B14" s="6"/>
      <c r="C14" s="6"/>
      <c r="D14" s="6"/>
      <c r="E14" s="6"/>
      <c r="F14" s="6"/>
      <c r="G14" s="6"/>
      <c r="H14" s="6"/>
    </row>
    <row r="15" spans="1:11">
      <c r="A15" s="6"/>
      <c r="B15" s="6"/>
      <c r="C15" s="6"/>
      <c r="D15" s="6"/>
      <c r="E15" s="6"/>
      <c r="F15" s="6"/>
      <c r="G15" s="6"/>
      <c r="H15" s="6"/>
    </row>
    <row r="16" spans="1:11">
      <c r="A16" s="6"/>
      <c r="B16" s="6"/>
      <c r="C16" s="6"/>
      <c r="D16" s="6"/>
      <c r="E16" s="6"/>
      <c r="F16" s="6"/>
      <c r="G16" s="6"/>
      <c r="H16" s="6"/>
    </row>
    <row r="17" spans="1:8">
      <c r="A17" s="6"/>
      <c r="B17" s="6"/>
      <c r="C17" s="6"/>
      <c r="D17" s="6"/>
      <c r="E17" s="6"/>
      <c r="F17" s="6"/>
      <c r="G17" s="6"/>
      <c r="H17" s="6"/>
    </row>
    <row r="18" spans="1:8">
      <c r="A18" s="6"/>
      <c r="B18" s="6"/>
      <c r="C18" s="6"/>
      <c r="D18" s="6"/>
      <c r="E18" s="6"/>
      <c r="F18" s="6"/>
      <c r="G18" s="6"/>
      <c r="H18" s="6"/>
    </row>
    <row r="19" spans="1:8">
      <c r="A19" s="6"/>
      <c r="B19" s="6"/>
      <c r="C19" s="6"/>
      <c r="D19" s="6"/>
      <c r="E19" s="6"/>
      <c r="F19" s="6"/>
      <c r="G19" s="6"/>
      <c r="H19" s="6"/>
    </row>
    <row r="20" spans="1:8">
      <c r="A20" s="6"/>
      <c r="B20" s="6"/>
      <c r="C20" s="6"/>
      <c r="D20" s="6"/>
      <c r="E20" s="6"/>
      <c r="F20" s="6"/>
      <c r="G20" s="6"/>
      <c r="H20" s="6"/>
    </row>
    <row r="21" spans="1:8">
      <c r="A21" s="6"/>
      <c r="B21" s="6"/>
      <c r="C21" s="6"/>
      <c r="D21" s="6"/>
      <c r="E21" s="6"/>
      <c r="F21" s="6"/>
      <c r="G21" s="6"/>
      <c r="H21" s="6"/>
    </row>
  </sheetData>
  <mergeCells count="9">
    <mergeCell ref="G2:H2"/>
    <mergeCell ref="A4:H4"/>
    <mergeCell ref="D5:H5"/>
    <mergeCell ref="E6:F6"/>
    <mergeCell ref="G6:H6"/>
    <mergeCell ref="D6:D7"/>
    <mergeCell ref="B5:B7"/>
    <mergeCell ref="A5:A7"/>
    <mergeCell ref="C5:C7"/>
  </mergeCells>
  <phoneticPr fontId="2" type="noConversion"/>
  <pageMargins left="0.75" right="0.75" top="1" bottom="1" header="0.5" footer="0.5"/>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sheetPr codeName="Лист11">
    <tabColor rgb="FF00B0F0"/>
  </sheetPr>
  <dimension ref="A1:K14"/>
  <sheetViews>
    <sheetView view="pageLayout" zoomScaleNormal="100" workbookViewId="0">
      <selection activeCell="G16" sqref="G16"/>
    </sheetView>
  </sheetViews>
  <sheetFormatPr defaultRowHeight="12.75"/>
  <cols>
    <col min="1" max="1" width="4.5703125" style="1" customWidth="1"/>
    <col min="2" max="2" width="19.28515625" style="1" customWidth="1"/>
    <col min="3" max="3" width="15.28515625" style="1" customWidth="1"/>
    <col min="4" max="4" width="20.7109375" style="1" customWidth="1"/>
    <col min="5" max="5" width="16.140625" style="1" customWidth="1"/>
    <col min="6" max="6" width="21.5703125" style="1" customWidth="1"/>
    <col min="7" max="16384" width="9.140625" style="1"/>
  </cols>
  <sheetData>
    <row r="1" spans="1:11" s="94" customFormat="1" ht="18.75">
      <c r="A1" s="97"/>
      <c r="B1" s="97"/>
      <c r="C1" s="97"/>
      <c r="D1" s="152"/>
      <c r="E1" s="97"/>
      <c r="F1" s="97"/>
    </row>
    <row r="2" spans="1:11" s="94" customFormat="1" ht="15.75">
      <c r="A2" s="97"/>
      <c r="B2" s="97"/>
      <c r="C2" s="97"/>
      <c r="D2" s="97"/>
      <c r="E2" s="959"/>
      <c r="F2" s="959"/>
      <c r="H2" s="146"/>
      <c r="I2" s="146"/>
      <c r="J2" s="34"/>
      <c r="K2" s="32"/>
    </row>
    <row r="3" spans="1:11" s="94" customFormat="1" ht="15.75">
      <c r="A3" s="97"/>
      <c r="B3" s="97"/>
      <c r="C3" s="97"/>
      <c r="D3" s="97"/>
      <c r="E3" s="97"/>
      <c r="F3" s="97"/>
      <c r="G3" s="33"/>
      <c r="H3" s="35"/>
      <c r="I3" s="35"/>
      <c r="J3" s="35"/>
      <c r="K3" s="32"/>
    </row>
    <row r="4" spans="1:11" ht="24" customHeight="1">
      <c r="A4" s="971" t="s">
        <v>148</v>
      </c>
      <c r="B4" s="1191"/>
      <c r="C4" s="1191"/>
      <c r="D4" s="1191"/>
      <c r="E4" s="1191"/>
      <c r="F4" s="1192"/>
      <c r="G4" s="5"/>
    </row>
    <row r="5" spans="1:11" ht="30.75" customHeight="1">
      <c r="A5" s="975" t="s">
        <v>1531</v>
      </c>
      <c r="B5" s="975" t="s">
        <v>1385</v>
      </c>
      <c r="C5" s="1193" t="s">
        <v>1325</v>
      </c>
      <c r="D5" s="1194"/>
      <c r="E5" s="1193" t="s">
        <v>1326</v>
      </c>
      <c r="F5" s="1194"/>
      <c r="G5" s="5"/>
    </row>
    <row r="6" spans="1:11" ht="28.5" customHeight="1">
      <c r="A6" s="975"/>
      <c r="B6" s="975"/>
      <c r="C6" s="37" t="s">
        <v>1387</v>
      </c>
      <c r="D6" s="37" t="s">
        <v>1386</v>
      </c>
      <c r="E6" s="37" t="s">
        <v>1387</v>
      </c>
      <c r="F6" s="37" t="s">
        <v>1386</v>
      </c>
      <c r="G6" s="5"/>
    </row>
    <row r="7" spans="1:11" ht="13.5" customHeight="1">
      <c r="A7" s="244">
        <v>1</v>
      </c>
      <c r="B7" s="244">
        <v>2</v>
      </c>
      <c r="C7" s="244">
        <v>3</v>
      </c>
      <c r="D7" s="244">
        <v>4</v>
      </c>
      <c r="E7" s="244">
        <v>5</v>
      </c>
      <c r="F7" s="244">
        <v>6</v>
      </c>
      <c r="G7" s="5"/>
    </row>
    <row r="8" spans="1:11" ht="15">
      <c r="A8" s="45">
        <v>1</v>
      </c>
      <c r="B8" s="63" t="s">
        <v>1587</v>
      </c>
      <c r="C8" s="708">
        <v>151146</v>
      </c>
      <c r="D8" s="468">
        <f>IF(C13=0,0,C8/C13)</f>
        <v>0.37356526381350652</v>
      </c>
      <c r="E8" s="709">
        <v>157253</v>
      </c>
      <c r="F8" s="469">
        <f>IF(E13=0,0,E8/E13)</f>
        <v>0.38843534558353116</v>
      </c>
      <c r="G8" s="5"/>
    </row>
    <row r="9" spans="1:11" s="5" customFormat="1" ht="15">
      <c r="A9" s="45">
        <v>2</v>
      </c>
      <c r="B9" s="63" t="s">
        <v>1590</v>
      </c>
      <c r="C9" s="708">
        <v>137116</v>
      </c>
      <c r="D9" s="468">
        <f>IF(C13=0,0,C9/C13)</f>
        <v>0.33888938319937517</v>
      </c>
      <c r="E9" s="708">
        <v>145140</v>
      </c>
      <c r="F9" s="470">
        <f>IF(E13=0,0,E9/E13)</f>
        <v>0.3585146614563392</v>
      </c>
    </row>
    <row r="10" spans="1:11" ht="15">
      <c r="A10" s="45">
        <v>3</v>
      </c>
      <c r="B10" s="63" t="s">
        <v>1591</v>
      </c>
      <c r="C10" s="708">
        <v>68157</v>
      </c>
      <c r="D10" s="468">
        <f>IF(C13=0,0,C10/C13)</f>
        <v>0.16845359907465077</v>
      </c>
      <c r="E10" s="708">
        <v>64160</v>
      </c>
      <c r="F10" s="470">
        <f>IF(E13=0,0,E10/E13)</f>
        <v>0.15848353781892466</v>
      </c>
      <c r="G10" s="5"/>
    </row>
    <row r="11" spans="1:11" s="5" customFormat="1" ht="15">
      <c r="A11" s="45">
        <v>4</v>
      </c>
      <c r="B11" s="63" t="s">
        <v>1588</v>
      </c>
      <c r="C11" s="708">
        <v>48097</v>
      </c>
      <c r="D11" s="468">
        <f>IF(C13=0,0,C11/C13)</f>
        <v>0.11887425729849432</v>
      </c>
      <c r="E11" s="708">
        <v>38256</v>
      </c>
      <c r="F11" s="470">
        <f>IF(E13=0,0,E11/E13)</f>
        <v>9.4497291502505951E-2</v>
      </c>
    </row>
    <row r="12" spans="1:11" ht="15.75" thickBot="1">
      <c r="A12" s="45">
        <v>5</v>
      </c>
      <c r="B12" s="63" t="s">
        <v>1589</v>
      </c>
      <c r="C12" s="710">
        <v>88</v>
      </c>
      <c r="D12" s="471">
        <f>IF(C13=0,0,C12/C13)</f>
        <v>2.1749661397316882E-4</v>
      </c>
      <c r="E12" s="711">
        <v>28</v>
      </c>
      <c r="F12" s="472">
        <f>IF(E13=0,0,E12/E13)</f>
        <v>6.9163638699031951E-5</v>
      </c>
      <c r="G12" s="5"/>
    </row>
    <row r="13" spans="1:11" ht="14.25">
      <c r="A13" s="250"/>
      <c r="B13" s="255" t="s">
        <v>30</v>
      </c>
      <c r="C13" s="256">
        <f>SUM(C8:C12)</f>
        <v>404604</v>
      </c>
      <c r="D13" s="257"/>
      <c r="E13" s="256">
        <f>SUM(E8:E12)</f>
        <v>404837</v>
      </c>
      <c r="F13" s="257"/>
      <c r="G13" s="5"/>
    </row>
    <row r="14" spans="1:11">
      <c r="A14" s="5"/>
      <c r="B14" s="5"/>
      <c r="C14" s="5"/>
      <c r="D14" s="5"/>
      <c r="E14" s="5"/>
      <c r="F14" s="5"/>
      <c r="G14" s="5"/>
    </row>
  </sheetData>
  <mergeCells count="6">
    <mergeCell ref="E2:F2"/>
    <mergeCell ref="A4:F4"/>
    <mergeCell ref="A5:A6"/>
    <mergeCell ref="B5:B6"/>
    <mergeCell ref="C5:D5"/>
    <mergeCell ref="E5:F5"/>
  </mergeCells>
  <phoneticPr fontId="2" type="noConversion"/>
  <printOptions horizontalCentered="1"/>
  <pageMargins left="0.66"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sheetPr codeName="Лист12">
    <tabColor rgb="FF00B0F0"/>
  </sheetPr>
  <dimension ref="A1:M134"/>
  <sheetViews>
    <sheetView view="pageLayout" topLeftCell="A91" zoomScale="70" zoomScaleNormal="85" zoomScalePageLayoutView="70" workbookViewId="0">
      <selection activeCell="K2" sqref="K2"/>
    </sheetView>
  </sheetViews>
  <sheetFormatPr defaultRowHeight="12.75"/>
  <cols>
    <col min="1" max="1" width="4" style="30" customWidth="1"/>
    <col min="2" max="2" width="21" style="29" customWidth="1"/>
    <col min="3" max="3" width="10.7109375" style="29" customWidth="1"/>
    <col min="4" max="4" width="13" style="29" customWidth="1"/>
    <col min="5" max="5" width="12.85546875" style="29" customWidth="1"/>
    <col min="6" max="6" width="11.140625" style="29" customWidth="1"/>
    <col min="7" max="7" width="11" style="29" customWidth="1"/>
    <col min="8" max="8" width="19.85546875" style="29" customWidth="1"/>
    <col min="9" max="9" width="16.85546875" style="29" customWidth="1"/>
    <col min="10" max="10" width="19.7109375" style="29" customWidth="1"/>
    <col min="11" max="11" width="12.7109375" style="29" customWidth="1"/>
    <col min="12" max="12" width="14.140625" style="29" customWidth="1"/>
    <col min="13" max="13" width="14.7109375" style="29" customWidth="1"/>
    <col min="14" max="16384" width="9.140625" style="29"/>
  </cols>
  <sheetData>
    <row r="1" spans="1:13" s="94" customFormat="1" ht="18.75">
      <c r="A1" s="97"/>
      <c r="B1" s="97"/>
      <c r="C1" s="97"/>
      <c r="D1" s="97"/>
      <c r="E1" s="97"/>
      <c r="F1" s="97"/>
      <c r="G1" s="97"/>
      <c r="H1" s="152"/>
      <c r="I1" s="97"/>
      <c r="J1" s="97"/>
      <c r="K1" s="97"/>
      <c r="L1" s="97"/>
      <c r="M1" s="97"/>
    </row>
    <row r="2" spans="1:13" s="94" customFormat="1" ht="15.75">
      <c r="A2" s="97"/>
      <c r="B2" s="97"/>
      <c r="C2" s="97"/>
      <c r="D2" s="97"/>
      <c r="E2" s="97"/>
      <c r="F2" s="97"/>
      <c r="G2" s="97"/>
      <c r="H2" s="146"/>
      <c r="I2" s="146"/>
      <c r="J2" s="97"/>
      <c r="K2" s="97"/>
      <c r="L2" s="959"/>
      <c r="M2" s="959"/>
    </row>
    <row r="3" spans="1:13" s="94" customFormat="1" ht="15.75">
      <c r="A3" s="97"/>
      <c r="B3" s="97"/>
      <c r="C3" s="97"/>
      <c r="D3" s="97"/>
      <c r="E3" s="97"/>
      <c r="F3" s="97"/>
      <c r="G3" s="33"/>
      <c r="H3" s="35"/>
      <c r="I3" s="35"/>
      <c r="J3" s="35"/>
      <c r="K3" s="171"/>
      <c r="L3" s="97"/>
      <c r="M3" s="97"/>
    </row>
    <row r="4" spans="1:13" ht="25.5" customHeight="1">
      <c r="A4" s="971" t="s">
        <v>330</v>
      </c>
      <c r="B4" s="972"/>
      <c r="C4" s="972"/>
      <c r="D4" s="972"/>
      <c r="E4" s="972"/>
      <c r="F4" s="972"/>
      <c r="G4" s="972"/>
      <c r="H4" s="972"/>
      <c r="I4" s="972"/>
      <c r="J4" s="972"/>
      <c r="K4" s="972"/>
      <c r="L4" s="972"/>
      <c r="M4" s="973"/>
    </row>
    <row r="5" spans="1:13" ht="128.25" customHeight="1">
      <c r="A5" s="691" t="s">
        <v>1531</v>
      </c>
      <c r="B5" s="690" t="s">
        <v>1585</v>
      </c>
      <c r="C5" s="690" t="s">
        <v>122</v>
      </c>
      <c r="D5" s="690" t="s">
        <v>1582</v>
      </c>
      <c r="E5" s="690" t="s">
        <v>1583</v>
      </c>
      <c r="F5" s="690" t="s">
        <v>1586</v>
      </c>
      <c r="G5" s="690" t="s">
        <v>199</v>
      </c>
      <c r="H5" s="690" t="s">
        <v>1392</v>
      </c>
      <c r="I5" s="690" t="s">
        <v>1469</v>
      </c>
      <c r="J5" s="690" t="s">
        <v>1393</v>
      </c>
      <c r="K5" s="91" t="s">
        <v>62</v>
      </c>
      <c r="L5" s="91" t="s">
        <v>63</v>
      </c>
      <c r="M5" s="41" t="s">
        <v>64</v>
      </c>
    </row>
    <row r="6" spans="1:13" ht="15.75" thickBot="1">
      <c r="A6" s="243">
        <v>1</v>
      </c>
      <c r="B6" s="239">
        <v>2</v>
      </c>
      <c r="C6" s="239">
        <v>3</v>
      </c>
      <c r="D6" s="239">
        <v>4</v>
      </c>
      <c r="E6" s="239">
        <v>5</v>
      </c>
      <c r="F6" s="239">
        <v>6</v>
      </c>
      <c r="G6" s="239">
        <v>7</v>
      </c>
      <c r="H6" s="239">
        <v>8</v>
      </c>
      <c r="I6" s="239">
        <v>9</v>
      </c>
      <c r="J6" s="239">
        <v>10</v>
      </c>
      <c r="K6" s="235">
        <v>11</v>
      </c>
      <c r="L6" s="235">
        <v>12</v>
      </c>
      <c r="M6" s="235">
        <v>13</v>
      </c>
    </row>
    <row r="7" spans="1:13" ht="25.5">
      <c r="A7" s="712">
        <v>1</v>
      </c>
      <c r="B7" s="713" t="s">
        <v>353</v>
      </c>
      <c r="C7" s="713">
        <v>35</v>
      </c>
      <c r="D7" s="713" t="s">
        <v>1212</v>
      </c>
      <c r="E7" s="713" t="s">
        <v>1212</v>
      </c>
      <c r="F7" s="713" t="s">
        <v>1222</v>
      </c>
      <c r="G7" s="713" t="s">
        <v>1223</v>
      </c>
      <c r="H7" s="713" t="s">
        <v>1213</v>
      </c>
      <c r="I7" s="713"/>
      <c r="J7" s="713" t="s">
        <v>1213</v>
      </c>
      <c r="K7" s="714">
        <v>0</v>
      </c>
      <c r="L7" s="714">
        <v>0</v>
      </c>
      <c r="M7" s="715">
        <v>0</v>
      </c>
    </row>
    <row r="8" spans="1:13">
      <c r="A8" s="716"/>
      <c r="B8" s="730" t="s">
        <v>1224</v>
      </c>
      <c r="C8" s="700"/>
      <c r="D8" s="700"/>
      <c r="E8" s="700"/>
      <c r="F8" s="700"/>
      <c r="G8" s="717"/>
      <c r="H8" s="700"/>
      <c r="I8" s="700"/>
      <c r="J8" s="700"/>
      <c r="K8" s="718"/>
      <c r="L8" s="718"/>
      <c r="M8" s="719"/>
    </row>
    <row r="9" spans="1:13" ht="25.5">
      <c r="A9" s="716">
        <v>2</v>
      </c>
      <c r="B9" s="700" t="s">
        <v>1225</v>
      </c>
      <c r="C9" s="700">
        <v>35</v>
      </c>
      <c r="D9" s="700" t="s">
        <v>1212</v>
      </c>
      <c r="E9" s="700" t="s">
        <v>1212</v>
      </c>
      <c r="F9" s="700" t="s">
        <v>1222</v>
      </c>
      <c r="G9" s="700" t="s">
        <v>1223</v>
      </c>
      <c r="H9" s="700" t="s">
        <v>1213</v>
      </c>
      <c r="I9" s="700"/>
      <c r="J9" s="700" t="s">
        <v>1213</v>
      </c>
      <c r="K9" s="720">
        <v>0</v>
      </c>
      <c r="L9" s="718">
        <v>0</v>
      </c>
      <c r="M9" s="719">
        <v>0</v>
      </c>
    </row>
    <row r="10" spans="1:13" ht="25.5">
      <c r="A10" s="716">
        <v>3</v>
      </c>
      <c r="B10" s="700" t="s">
        <v>1226</v>
      </c>
      <c r="C10" s="700">
        <v>35</v>
      </c>
      <c r="D10" s="700" t="s">
        <v>1212</v>
      </c>
      <c r="E10" s="700" t="s">
        <v>1212</v>
      </c>
      <c r="F10" s="700" t="s">
        <v>1222</v>
      </c>
      <c r="G10" s="700" t="s">
        <v>1223</v>
      </c>
      <c r="H10" s="700" t="s">
        <v>1213</v>
      </c>
      <c r="I10" s="700"/>
      <c r="J10" s="700" t="s">
        <v>1213</v>
      </c>
      <c r="K10" s="718">
        <v>0</v>
      </c>
      <c r="L10" s="718">
        <v>0</v>
      </c>
      <c r="M10" s="719">
        <v>0</v>
      </c>
    </row>
    <row r="11" spans="1:13" ht="25.5">
      <c r="A11" s="716">
        <v>4</v>
      </c>
      <c r="B11" s="700" t="s">
        <v>1227</v>
      </c>
      <c r="C11" s="700">
        <v>35</v>
      </c>
      <c r="D11" s="700" t="s">
        <v>1212</v>
      </c>
      <c r="E11" s="700" t="s">
        <v>1212</v>
      </c>
      <c r="F11" s="700" t="s">
        <v>1222</v>
      </c>
      <c r="G11" s="700" t="s">
        <v>1223</v>
      </c>
      <c r="H11" s="700" t="s">
        <v>1213</v>
      </c>
      <c r="I11" s="700"/>
      <c r="J11" s="700" t="s">
        <v>1213</v>
      </c>
      <c r="K11" s="718">
        <v>0</v>
      </c>
      <c r="L11" s="718">
        <v>0</v>
      </c>
      <c r="M11" s="719">
        <v>0</v>
      </c>
    </row>
    <row r="12" spans="1:13" ht="25.5">
      <c r="A12" s="716">
        <v>5</v>
      </c>
      <c r="B12" s="700" t="s">
        <v>354</v>
      </c>
      <c r="C12" s="700">
        <v>110</v>
      </c>
      <c r="D12" s="700" t="s">
        <v>1212</v>
      </c>
      <c r="E12" s="700" t="s">
        <v>1228</v>
      </c>
      <c r="F12" s="700" t="s">
        <v>1229</v>
      </c>
      <c r="G12" s="700" t="s">
        <v>1223</v>
      </c>
      <c r="H12" s="700" t="s">
        <v>1213</v>
      </c>
      <c r="I12" s="700"/>
      <c r="J12" s="700" t="s">
        <v>1213</v>
      </c>
      <c r="K12" s="718">
        <v>1</v>
      </c>
      <c r="L12" s="718">
        <v>0</v>
      </c>
      <c r="M12" s="719">
        <v>0</v>
      </c>
    </row>
    <row r="13" spans="1:13">
      <c r="A13" s="716"/>
      <c r="B13" s="730" t="s">
        <v>1230</v>
      </c>
      <c r="C13" s="700"/>
      <c r="D13" s="700"/>
      <c r="E13" s="700"/>
      <c r="F13" s="700"/>
      <c r="G13" s="717"/>
      <c r="H13" s="700"/>
      <c r="I13" s="700"/>
      <c r="J13" s="700"/>
      <c r="K13" s="718"/>
      <c r="L13" s="718"/>
      <c r="M13" s="719"/>
    </row>
    <row r="14" spans="1:13" ht="25.5">
      <c r="A14" s="716">
        <v>6</v>
      </c>
      <c r="B14" s="700" t="s">
        <v>1231</v>
      </c>
      <c r="C14" s="700">
        <v>110</v>
      </c>
      <c r="D14" s="700" t="s">
        <v>1212</v>
      </c>
      <c r="E14" s="700" t="s">
        <v>1212</v>
      </c>
      <c r="F14" s="700" t="s">
        <v>1232</v>
      </c>
      <c r="G14" s="717" t="s">
        <v>1233</v>
      </c>
      <c r="H14" s="700" t="s">
        <v>1213</v>
      </c>
      <c r="I14" s="700"/>
      <c r="J14" s="700" t="s">
        <v>1213</v>
      </c>
      <c r="K14" s="718">
        <v>1</v>
      </c>
      <c r="L14" s="718">
        <v>0</v>
      </c>
      <c r="M14" s="719">
        <v>0</v>
      </c>
    </row>
    <row r="15" spans="1:13" ht="25.5">
      <c r="A15" s="716">
        <v>7</v>
      </c>
      <c r="B15" s="700" t="s">
        <v>1234</v>
      </c>
      <c r="C15" s="700">
        <v>35</v>
      </c>
      <c r="D15" s="700" t="s">
        <v>1212</v>
      </c>
      <c r="E15" s="700" t="s">
        <v>1212</v>
      </c>
      <c r="F15" s="700" t="s">
        <v>1232</v>
      </c>
      <c r="G15" s="717" t="s">
        <v>1233</v>
      </c>
      <c r="H15" s="700" t="s">
        <v>1213</v>
      </c>
      <c r="I15" s="700"/>
      <c r="J15" s="700" t="s">
        <v>1213</v>
      </c>
      <c r="K15" s="718">
        <v>0</v>
      </c>
      <c r="L15" s="718">
        <v>0</v>
      </c>
      <c r="M15" s="719">
        <v>0</v>
      </c>
    </row>
    <row r="16" spans="1:13" ht="25.5">
      <c r="A16" s="716">
        <v>8</v>
      </c>
      <c r="B16" s="700" t="s">
        <v>1235</v>
      </c>
      <c r="C16" s="700">
        <v>35</v>
      </c>
      <c r="D16" s="700" t="s">
        <v>1212</v>
      </c>
      <c r="E16" s="700" t="s">
        <v>1212</v>
      </c>
      <c r="F16" s="700" t="s">
        <v>1232</v>
      </c>
      <c r="G16" s="717" t="s">
        <v>1233</v>
      </c>
      <c r="H16" s="700" t="s">
        <v>1213</v>
      </c>
      <c r="I16" s="700"/>
      <c r="J16" s="700" t="s">
        <v>1213</v>
      </c>
      <c r="K16" s="718">
        <v>0</v>
      </c>
      <c r="L16" s="718">
        <v>0</v>
      </c>
      <c r="M16" s="719">
        <v>0</v>
      </c>
    </row>
    <row r="17" spans="1:13" ht="25.5">
      <c r="A17" s="716">
        <v>9</v>
      </c>
      <c r="B17" s="700" t="s">
        <v>355</v>
      </c>
      <c r="C17" s="700">
        <v>35</v>
      </c>
      <c r="D17" s="700" t="s">
        <v>1212</v>
      </c>
      <c r="E17" s="700" t="s">
        <v>1228</v>
      </c>
      <c r="F17" s="700" t="s">
        <v>1229</v>
      </c>
      <c r="G17" s="700" t="s">
        <v>1223</v>
      </c>
      <c r="H17" s="700" t="s">
        <v>1213</v>
      </c>
      <c r="I17" s="700"/>
      <c r="J17" s="700" t="s">
        <v>1213</v>
      </c>
      <c r="K17" s="718">
        <v>0</v>
      </c>
      <c r="L17" s="718">
        <v>0</v>
      </c>
      <c r="M17" s="719">
        <v>0</v>
      </c>
    </row>
    <row r="18" spans="1:13" ht="25.5">
      <c r="A18" s="716">
        <v>10</v>
      </c>
      <c r="B18" s="700" t="s">
        <v>356</v>
      </c>
      <c r="C18" s="700">
        <v>35</v>
      </c>
      <c r="D18" s="700" t="s">
        <v>1212</v>
      </c>
      <c r="E18" s="700" t="s">
        <v>1212</v>
      </c>
      <c r="F18" s="700" t="s">
        <v>1222</v>
      </c>
      <c r="G18" s="700" t="s">
        <v>1223</v>
      </c>
      <c r="H18" s="700" t="s">
        <v>1213</v>
      </c>
      <c r="I18" s="700"/>
      <c r="J18" s="700" t="s">
        <v>1213</v>
      </c>
      <c r="K18" s="718">
        <v>1</v>
      </c>
      <c r="L18" s="718">
        <v>0</v>
      </c>
      <c r="M18" s="719">
        <v>0</v>
      </c>
    </row>
    <row r="19" spans="1:13" ht="25.5">
      <c r="A19" s="716">
        <v>11</v>
      </c>
      <c r="B19" s="700" t="s">
        <v>357</v>
      </c>
      <c r="C19" s="700">
        <v>110</v>
      </c>
      <c r="D19" s="700" t="s">
        <v>1212</v>
      </c>
      <c r="E19" s="700" t="s">
        <v>1212</v>
      </c>
      <c r="F19" s="700" t="s">
        <v>1222</v>
      </c>
      <c r="G19" s="700" t="s">
        <v>1223</v>
      </c>
      <c r="H19" s="700" t="s">
        <v>1213</v>
      </c>
      <c r="I19" s="700"/>
      <c r="J19" s="700" t="s">
        <v>334</v>
      </c>
      <c r="K19" s="718">
        <v>1</v>
      </c>
      <c r="L19" s="718">
        <v>0</v>
      </c>
      <c r="M19" s="719">
        <v>0</v>
      </c>
    </row>
    <row r="20" spans="1:13" ht="38.25">
      <c r="A20" s="716">
        <v>12</v>
      </c>
      <c r="B20" s="700" t="s">
        <v>358</v>
      </c>
      <c r="C20" s="700">
        <v>35</v>
      </c>
      <c r="D20" s="700" t="s">
        <v>1212</v>
      </c>
      <c r="E20" s="700" t="s">
        <v>1212</v>
      </c>
      <c r="F20" s="700" t="s">
        <v>1273</v>
      </c>
      <c r="G20" s="717" t="s">
        <v>1274</v>
      </c>
      <c r="H20" s="700" t="s">
        <v>1213</v>
      </c>
      <c r="I20" s="700"/>
      <c r="J20" s="700" t="s">
        <v>1213</v>
      </c>
      <c r="K20" s="718">
        <v>1</v>
      </c>
      <c r="L20" s="718">
        <v>0</v>
      </c>
      <c r="M20" s="719">
        <v>0</v>
      </c>
    </row>
    <row r="21" spans="1:13" ht="38.25">
      <c r="A21" s="716">
        <v>13</v>
      </c>
      <c r="B21" s="700" t="s">
        <v>347</v>
      </c>
      <c r="C21" s="700">
        <v>35</v>
      </c>
      <c r="D21" s="700" t="s">
        <v>1212</v>
      </c>
      <c r="E21" s="700" t="s">
        <v>1212</v>
      </c>
      <c r="F21" s="700" t="s">
        <v>1232</v>
      </c>
      <c r="G21" s="717" t="s">
        <v>1233</v>
      </c>
      <c r="H21" s="700" t="s">
        <v>1213</v>
      </c>
      <c r="I21" s="700"/>
      <c r="J21" s="700" t="s">
        <v>1213</v>
      </c>
      <c r="K21" s="718">
        <v>0</v>
      </c>
      <c r="L21" s="718">
        <v>0</v>
      </c>
      <c r="M21" s="719">
        <v>0</v>
      </c>
    </row>
    <row r="22" spans="1:13" ht="25.5">
      <c r="A22" s="716">
        <v>14</v>
      </c>
      <c r="B22" s="700" t="s">
        <v>348</v>
      </c>
      <c r="C22" s="700">
        <v>35</v>
      </c>
      <c r="D22" s="700" t="s">
        <v>1212</v>
      </c>
      <c r="E22" s="700" t="s">
        <v>1228</v>
      </c>
      <c r="F22" s="700" t="s">
        <v>1229</v>
      </c>
      <c r="G22" s="700" t="s">
        <v>1223</v>
      </c>
      <c r="H22" s="700" t="s">
        <v>1213</v>
      </c>
      <c r="I22" s="700"/>
      <c r="J22" s="700" t="s">
        <v>1213</v>
      </c>
      <c r="K22" s="718">
        <v>0</v>
      </c>
      <c r="L22" s="718">
        <v>0</v>
      </c>
      <c r="M22" s="719">
        <v>0</v>
      </c>
    </row>
    <row r="23" spans="1:13" ht="25.5">
      <c r="A23" s="716">
        <v>15</v>
      </c>
      <c r="B23" s="700" t="s">
        <v>349</v>
      </c>
      <c r="C23" s="700">
        <v>35</v>
      </c>
      <c r="D23" s="700" t="s">
        <v>1212</v>
      </c>
      <c r="E23" s="700" t="s">
        <v>1228</v>
      </c>
      <c r="F23" s="700" t="s">
        <v>1229</v>
      </c>
      <c r="G23" s="700" t="s">
        <v>1223</v>
      </c>
      <c r="H23" s="700" t="s">
        <v>1213</v>
      </c>
      <c r="I23" s="700"/>
      <c r="J23" s="700" t="s">
        <v>1213</v>
      </c>
      <c r="K23" s="718">
        <v>0</v>
      </c>
      <c r="L23" s="718">
        <v>0</v>
      </c>
      <c r="M23" s="719">
        <v>0</v>
      </c>
    </row>
    <row r="24" spans="1:13" ht="25.5">
      <c r="A24" s="716">
        <v>16</v>
      </c>
      <c r="B24" s="700" t="s">
        <v>350</v>
      </c>
      <c r="C24" s="700">
        <v>35</v>
      </c>
      <c r="D24" s="700" t="s">
        <v>1212</v>
      </c>
      <c r="E24" s="700" t="s">
        <v>1228</v>
      </c>
      <c r="F24" s="700" t="s">
        <v>1229</v>
      </c>
      <c r="G24" s="700" t="s">
        <v>1223</v>
      </c>
      <c r="H24" s="700" t="s">
        <v>1213</v>
      </c>
      <c r="I24" s="700"/>
      <c r="J24" s="700" t="s">
        <v>1213</v>
      </c>
      <c r="K24" s="718">
        <v>0</v>
      </c>
      <c r="L24" s="718">
        <v>0</v>
      </c>
      <c r="M24" s="719">
        <v>0</v>
      </c>
    </row>
    <row r="25" spans="1:13" ht="25.5">
      <c r="A25" s="716">
        <v>17</v>
      </c>
      <c r="B25" s="700" t="s">
        <v>351</v>
      </c>
      <c r="C25" s="700">
        <v>35</v>
      </c>
      <c r="D25" s="700" t="s">
        <v>1212</v>
      </c>
      <c r="E25" s="700" t="s">
        <v>1228</v>
      </c>
      <c r="F25" s="700" t="s">
        <v>1229</v>
      </c>
      <c r="G25" s="700" t="s">
        <v>1223</v>
      </c>
      <c r="H25" s="700" t="s">
        <v>1213</v>
      </c>
      <c r="I25" s="700"/>
      <c r="J25" s="700" t="s">
        <v>1213</v>
      </c>
      <c r="K25" s="718">
        <v>0</v>
      </c>
      <c r="L25" s="718">
        <v>0</v>
      </c>
      <c r="M25" s="719">
        <v>0</v>
      </c>
    </row>
    <row r="26" spans="1:13" ht="25.5">
      <c r="A26" s="716">
        <v>18</v>
      </c>
      <c r="B26" s="700" t="s">
        <v>352</v>
      </c>
      <c r="C26" s="700">
        <v>110</v>
      </c>
      <c r="D26" s="700" t="s">
        <v>1212</v>
      </c>
      <c r="E26" s="700" t="s">
        <v>1212</v>
      </c>
      <c r="F26" s="700" t="s">
        <v>1275</v>
      </c>
      <c r="G26" s="700"/>
      <c r="H26" s="700" t="s">
        <v>1213</v>
      </c>
      <c r="I26" s="700"/>
      <c r="J26" s="700" t="s">
        <v>1213</v>
      </c>
      <c r="K26" s="718">
        <v>1</v>
      </c>
      <c r="L26" s="718">
        <v>0</v>
      </c>
      <c r="M26" s="719">
        <v>0</v>
      </c>
    </row>
    <row r="27" spans="1:13">
      <c r="A27" s="716"/>
      <c r="B27" s="729" t="s">
        <v>1276</v>
      </c>
      <c r="C27" s="700"/>
      <c r="D27" s="700"/>
      <c r="E27" s="700"/>
      <c r="F27" s="700"/>
      <c r="G27" s="700"/>
      <c r="H27" s="700"/>
      <c r="I27" s="700"/>
      <c r="J27" s="700"/>
      <c r="K27" s="718"/>
      <c r="L27" s="718"/>
      <c r="M27" s="719"/>
    </row>
    <row r="28" spans="1:13" ht="25.5">
      <c r="A28" s="716">
        <v>19</v>
      </c>
      <c r="B28" s="700" t="s">
        <v>1277</v>
      </c>
      <c r="C28" s="700">
        <v>110</v>
      </c>
      <c r="D28" s="700" t="s">
        <v>1212</v>
      </c>
      <c r="E28" s="700" t="s">
        <v>1212</v>
      </c>
      <c r="F28" s="700" t="s">
        <v>1232</v>
      </c>
      <c r="G28" s="717" t="s">
        <v>1233</v>
      </c>
      <c r="H28" s="700" t="s">
        <v>1213</v>
      </c>
      <c r="I28" s="700"/>
      <c r="J28" s="700" t="s">
        <v>1213</v>
      </c>
      <c r="K28" s="718">
        <v>1</v>
      </c>
      <c r="L28" s="718">
        <v>0</v>
      </c>
      <c r="M28" s="719">
        <v>0</v>
      </c>
    </row>
    <row r="29" spans="1:13" ht="25.5">
      <c r="A29" s="716">
        <v>20</v>
      </c>
      <c r="B29" s="700" t="s">
        <v>1278</v>
      </c>
      <c r="C29" s="700">
        <v>110</v>
      </c>
      <c r="D29" s="700" t="s">
        <v>1212</v>
      </c>
      <c r="E29" s="700" t="s">
        <v>1212</v>
      </c>
      <c r="F29" s="700" t="s">
        <v>1232</v>
      </c>
      <c r="G29" s="717" t="s">
        <v>1233</v>
      </c>
      <c r="H29" s="700" t="s">
        <v>1213</v>
      </c>
      <c r="I29" s="700"/>
      <c r="J29" s="700" t="s">
        <v>1213</v>
      </c>
      <c r="K29" s="718">
        <v>1</v>
      </c>
      <c r="L29" s="718">
        <v>0</v>
      </c>
      <c r="M29" s="719">
        <v>0</v>
      </c>
    </row>
    <row r="30" spans="1:13" ht="25.5">
      <c r="A30" s="716">
        <v>21</v>
      </c>
      <c r="B30" s="700" t="s">
        <v>1279</v>
      </c>
      <c r="C30" s="700">
        <v>110</v>
      </c>
      <c r="D30" s="700" t="s">
        <v>1212</v>
      </c>
      <c r="E30" s="700" t="s">
        <v>1212</v>
      </c>
      <c r="F30" s="700" t="s">
        <v>1232</v>
      </c>
      <c r="G30" s="717" t="s">
        <v>1233</v>
      </c>
      <c r="H30" s="700" t="s">
        <v>1213</v>
      </c>
      <c r="I30" s="700"/>
      <c r="J30" s="700" t="s">
        <v>1213</v>
      </c>
      <c r="K30" s="718">
        <v>1</v>
      </c>
      <c r="L30" s="718">
        <v>0</v>
      </c>
      <c r="M30" s="719">
        <v>0</v>
      </c>
    </row>
    <row r="31" spans="1:13">
      <c r="A31" s="716">
        <v>22</v>
      </c>
      <c r="B31" s="700" t="s">
        <v>1280</v>
      </c>
      <c r="C31" s="700">
        <v>110</v>
      </c>
      <c r="D31" s="700" t="s">
        <v>1212</v>
      </c>
      <c r="E31" s="700" t="s">
        <v>1212</v>
      </c>
      <c r="F31" s="700" t="s">
        <v>1232</v>
      </c>
      <c r="G31" s="717" t="s">
        <v>1233</v>
      </c>
      <c r="H31" s="700" t="s">
        <v>1213</v>
      </c>
      <c r="I31" s="700"/>
      <c r="J31" s="700" t="s">
        <v>1213</v>
      </c>
      <c r="K31" s="718">
        <v>1</v>
      </c>
      <c r="L31" s="718">
        <v>0</v>
      </c>
      <c r="M31" s="719">
        <v>0</v>
      </c>
    </row>
    <row r="32" spans="1:13">
      <c r="A32" s="716">
        <v>23</v>
      </c>
      <c r="B32" s="700" t="s">
        <v>1281</v>
      </c>
      <c r="C32" s="700">
        <v>110</v>
      </c>
      <c r="D32" s="700" t="s">
        <v>1212</v>
      </c>
      <c r="E32" s="700" t="s">
        <v>1212</v>
      </c>
      <c r="F32" s="700" t="s">
        <v>1232</v>
      </c>
      <c r="G32" s="717" t="s">
        <v>1233</v>
      </c>
      <c r="H32" s="700" t="s">
        <v>1213</v>
      </c>
      <c r="I32" s="700"/>
      <c r="J32" s="700" t="s">
        <v>1213</v>
      </c>
      <c r="K32" s="718">
        <v>1</v>
      </c>
      <c r="L32" s="718">
        <v>0</v>
      </c>
      <c r="M32" s="719">
        <v>0</v>
      </c>
    </row>
    <row r="33" spans="1:13">
      <c r="A33" s="716">
        <v>24</v>
      </c>
      <c r="B33" s="700" t="s">
        <v>1280</v>
      </c>
      <c r="C33" s="700">
        <v>10</v>
      </c>
      <c r="D33" s="700" t="s">
        <v>1212</v>
      </c>
      <c r="E33" s="700" t="s">
        <v>1212</v>
      </c>
      <c r="F33" s="700" t="s">
        <v>1232</v>
      </c>
      <c r="G33" s="717" t="s">
        <v>1233</v>
      </c>
      <c r="H33" s="700" t="s">
        <v>1213</v>
      </c>
      <c r="I33" s="700"/>
      <c r="J33" s="700" t="s">
        <v>1213</v>
      </c>
      <c r="K33" s="718">
        <v>0</v>
      </c>
      <c r="L33" s="718">
        <v>0</v>
      </c>
      <c r="M33" s="719">
        <v>0</v>
      </c>
    </row>
    <row r="34" spans="1:13">
      <c r="A34" s="716">
        <v>25</v>
      </c>
      <c r="B34" s="700" t="s">
        <v>1281</v>
      </c>
      <c r="C34" s="700">
        <v>10</v>
      </c>
      <c r="D34" s="700" t="s">
        <v>1212</v>
      </c>
      <c r="E34" s="700" t="s">
        <v>1212</v>
      </c>
      <c r="F34" s="700" t="s">
        <v>1232</v>
      </c>
      <c r="G34" s="717" t="s">
        <v>1233</v>
      </c>
      <c r="H34" s="700" t="s">
        <v>1213</v>
      </c>
      <c r="I34" s="700"/>
      <c r="J34" s="700" t="s">
        <v>1213</v>
      </c>
      <c r="K34" s="718">
        <v>0</v>
      </c>
      <c r="L34" s="718">
        <v>0</v>
      </c>
      <c r="M34" s="719">
        <v>0</v>
      </c>
    </row>
    <row r="35" spans="1:13">
      <c r="A35" s="716">
        <v>26</v>
      </c>
      <c r="B35" s="700" t="s">
        <v>1282</v>
      </c>
      <c r="C35" s="700">
        <v>110</v>
      </c>
      <c r="D35" s="700" t="s">
        <v>1212</v>
      </c>
      <c r="E35" s="700" t="s">
        <v>1212</v>
      </c>
      <c r="F35" s="700" t="s">
        <v>1232</v>
      </c>
      <c r="G35" s="717" t="s">
        <v>1233</v>
      </c>
      <c r="H35" s="700" t="s">
        <v>1213</v>
      </c>
      <c r="I35" s="700"/>
      <c r="J35" s="700" t="s">
        <v>1213</v>
      </c>
      <c r="K35" s="718">
        <v>1</v>
      </c>
      <c r="L35" s="718">
        <v>0</v>
      </c>
      <c r="M35" s="719">
        <v>0</v>
      </c>
    </row>
    <row r="36" spans="1:13">
      <c r="A36" s="716">
        <v>27</v>
      </c>
      <c r="B36" s="700" t="s">
        <v>1283</v>
      </c>
      <c r="C36" s="700">
        <v>0.4</v>
      </c>
      <c r="D36" s="721" t="s">
        <v>1211</v>
      </c>
      <c r="E36" s="721" t="s">
        <v>1211</v>
      </c>
      <c r="F36" s="700" t="s">
        <v>1232</v>
      </c>
      <c r="G36" s="717" t="s">
        <v>1233</v>
      </c>
      <c r="H36" s="700" t="s">
        <v>1213</v>
      </c>
      <c r="I36" s="700"/>
      <c r="J36" s="700" t="s">
        <v>1213</v>
      </c>
      <c r="K36" s="718">
        <v>0</v>
      </c>
      <c r="L36" s="718">
        <v>0</v>
      </c>
      <c r="M36" s="719">
        <v>0</v>
      </c>
    </row>
    <row r="37" spans="1:13">
      <c r="A37" s="716">
        <v>28</v>
      </c>
      <c r="B37" s="700" t="s">
        <v>1284</v>
      </c>
      <c r="C37" s="700">
        <v>0.4</v>
      </c>
      <c r="D37" s="721" t="s">
        <v>1211</v>
      </c>
      <c r="E37" s="721" t="s">
        <v>1211</v>
      </c>
      <c r="F37" s="700" t="s">
        <v>1232</v>
      </c>
      <c r="G37" s="717" t="s">
        <v>1233</v>
      </c>
      <c r="H37" s="700" t="s">
        <v>1213</v>
      </c>
      <c r="I37" s="700"/>
      <c r="J37" s="700" t="s">
        <v>1213</v>
      </c>
      <c r="K37" s="718">
        <v>0</v>
      </c>
      <c r="L37" s="718">
        <v>0</v>
      </c>
      <c r="M37" s="719">
        <v>0</v>
      </c>
    </row>
    <row r="38" spans="1:13">
      <c r="A38" s="716"/>
      <c r="B38" s="729" t="s">
        <v>1285</v>
      </c>
      <c r="C38" s="722"/>
      <c r="D38" s="722"/>
      <c r="E38" s="723"/>
      <c r="F38" s="722"/>
      <c r="G38" s="722"/>
      <c r="H38" s="722"/>
      <c r="I38" s="722"/>
      <c r="J38" s="722"/>
      <c r="K38" s="724"/>
      <c r="L38" s="724"/>
      <c r="M38" s="725"/>
    </row>
    <row r="39" spans="1:13">
      <c r="A39" s="716">
        <v>29</v>
      </c>
      <c r="B39" s="700" t="s">
        <v>1280</v>
      </c>
      <c r="C39" s="700">
        <v>110</v>
      </c>
      <c r="D39" s="700" t="s">
        <v>1228</v>
      </c>
      <c r="E39" s="700" t="s">
        <v>1212</v>
      </c>
      <c r="F39" s="700" t="s">
        <v>1232</v>
      </c>
      <c r="G39" s="717" t="s">
        <v>1233</v>
      </c>
      <c r="H39" s="700" t="s">
        <v>1213</v>
      </c>
      <c r="I39" s="700"/>
      <c r="J39" s="700" t="s">
        <v>1213</v>
      </c>
      <c r="K39" s="724">
        <v>1</v>
      </c>
      <c r="L39" s="718">
        <v>0</v>
      </c>
      <c r="M39" s="719">
        <v>0</v>
      </c>
    </row>
    <row r="40" spans="1:13">
      <c r="A40" s="716">
        <v>30</v>
      </c>
      <c r="B40" s="700" t="s">
        <v>1281</v>
      </c>
      <c r="C40" s="700">
        <v>110</v>
      </c>
      <c r="D40" s="700" t="s">
        <v>1228</v>
      </c>
      <c r="E40" s="700" t="s">
        <v>1212</v>
      </c>
      <c r="F40" s="700" t="s">
        <v>1232</v>
      </c>
      <c r="G40" s="717" t="s">
        <v>1233</v>
      </c>
      <c r="H40" s="700" t="s">
        <v>1213</v>
      </c>
      <c r="I40" s="700"/>
      <c r="J40" s="700" t="s">
        <v>1213</v>
      </c>
      <c r="K40" s="718">
        <v>1</v>
      </c>
      <c r="L40" s="718">
        <v>0</v>
      </c>
      <c r="M40" s="719">
        <v>0</v>
      </c>
    </row>
    <row r="41" spans="1:13">
      <c r="A41" s="716">
        <v>31</v>
      </c>
      <c r="B41" s="700" t="s">
        <v>1286</v>
      </c>
      <c r="C41" s="700">
        <v>110</v>
      </c>
      <c r="D41" s="700" t="s">
        <v>1212</v>
      </c>
      <c r="E41" s="700" t="s">
        <v>1212</v>
      </c>
      <c r="F41" s="700" t="s">
        <v>1232</v>
      </c>
      <c r="G41" s="717" t="s">
        <v>1233</v>
      </c>
      <c r="H41" s="700" t="s">
        <v>1213</v>
      </c>
      <c r="I41" s="700"/>
      <c r="J41" s="700" t="s">
        <v>1213</v>
      </c>
      <c r="K41" s="718">
        <v>1</v>
      </c>
      <c r="L41" s="718">
        <v>0</v>
      </c>
      <c r="M41" s="719">
        <v>0</v>
      </c>
    </row>
    <row r="42" spans="1:13">
      <c r="A42" s="716">
        <v>32</v>
      </c>
      <c r="B42" s="700" t="s">
        <v>1287</v>
      </c>
      <c r="C42" s="700">
        <v>35</v>
      </c>
      <c r="D42" s="700" t="s">
        <v>1212</v>
      </c>
      <c r="E42" s="700" t="s">
        <v>1212</v>
      </c>
      <c r="F42" s="700" t="s">
        <v>1232</v>
      </c>
      <c r="G42" s="717" t="s">
        <v>1233</v>
      </c>
      <c r="H42" s="700" t="s">
        <v>1213</v>
      </c>
      <c r="I42" s="700"/>
      <c r="J42" s="700" t="s">
        <v>1213</v>
      </c>
      <c r="K42" s="718">
        <v>0</v>
      </c>
      <c r="L42" s="718">
        <v>0</v>
      </c>
      <c r="M42" s="719">
        <v>0</v>
      </c>
    </row>
    <row r="43" spans="1:13">
      <c r="A43" s="716">
        <v>33</v>
      </c>
      <c r="B43" s="700" t="s">
        <v>1280</v>
      </c>
      <c r="C43" s="700">
        <v>10</v>
      </c>
      <c r="D43" s="700" t="s">
        <v>1212</v>
      </c>
      <c r="E43" s="700" t="s">
        <v>1212</v>
      </c>
      <c r="F43" s="700" t="s">
        <v>1232</v>
      </c>
      <c r="G43" s="717" t="s">
        <v>1233</v>
      </c>
      <c r="H43" s="700" t="s">
        <v>1213</v>
      </c>
      <c r="I43" s="700"/>
      <c r="J43" s="700" t="s">
        <v>1213</v>
      </c>
      <c r="K43" s="718">
        <v>0</v>
      </c>
      <c r="L43" s="718">
        <v>0</v>
      </c>
      <c r="M43" s="719">
        <v>0</v>
      </c>
    </row>
    <row r="44" spans="1:13">
      <c r="A44" s="716">
        <v>34</v>
      </c>
      <c r="B44" s="700" t="s">
        <v>1281</v>
      </c>
      <c r="C44" s="700">
        <v>10</v>
      </c>
      <c r="D44" s="700" t="s">
        <v>1212</v>
      </c>
      <c r="E44" s="700" t="s">
        <v>1212</v>
      </c>
      <c r="F44" s="700" t="s">
        <v>1232</v>
      </c>
      <c r="G44" s="717" t="s">
        <v>1233</v>
      </c>
      <c r="H44" s="700" t="s">
        <v>1213</v>
      </c>
      <c r="I44" s="700"/>
      <c r="J44" s="700" t="s">
        <v>1213</v>
      </c>
      <c r="K44" s="718">
        <v>0</v>
      </c>
      <c r="L44" s="718">
        <v>0</v>
      </c>
      <c r="M44" s="719">
        <v>0</v>
      </c>
    </row>
    <row r="45" spans="1:13">
      <c r="A45" s="716">
        <v>35</v>
      </c>
      <c r="B45" s="700" t="s">
        <v>1288</v>
      </c>
      <c r="C45" s="700">
        <v>0.4</v>
      </c>
      <c r="D45" s="700" t="s">
        <v>1212</v>
      </c>
      <c r="E45" s="700" t="s">
        <v>1212</v>
      </c>
      <c r="F45" s="700" t="s">
        <v>1232</v>
      </c>
      <c r="G45" s="717" t="s">
        <v>1233</v>
      </c>
      <c r="H45" s="700" t="s">
        <v>1213</v>
      </c>
      <c r="I45" s="700"/>
      <c r="J45" s="700" t="s">
        <v>1213</v>
      </c>
      <c r="K45" s="718">
        <v>0</v>
      </c>
      <c r="L45" s="718">
        <v>0</v>
      </c>
      <c r="M45" s="719">
        <v>0</v>
      </c>
    </row>
    <row r="46" spans="1:13">
      <c r="A46" s="716">
        <v>36</v>
      </c>
      <c r="B46" s="700" t="s">
        <v>1289</v>
      </c>
      <c r="C46" s="700">
        <v>110</v>
      </c>
      <c r="D46" s="700" t="s">
        <v>1212</v>
      </c>
      <c r="E46" s="700" t="s">
        <v>1212</v>
      </c>
      <c r="F46" s="700" t="s">
        <v>1232</v>
      </c>
      <c r="G46" s="717" t="s">
        <v>1233</v>
      </c>
      <c r="H46" s="700" t="s">
        <v>1213</v>
      </c>
      <c r="I46" s="700"/>
      <c r="J46" s="700" t="s">
        <v>1213</v>
      </c>
      <c r="K46" s="718">
        <v>1</v>
      </c>
      <c r="L46" s="718">
        <v>0</v>
      </c>
      <c r="M46" s="719">
        <v>0</v>
      </c>
    </row>
    <row r="47" spans="1:13">
      <c r="A47" s="716">
        <v>37</v>
      </c>
      <c r="B47" s="700" t="s">
        <v>1290</v>
      </c>
      <c r="C47" s="700">
        <v>110</v>
      </c>
      <c r="D47" s="700" t="s">
        <v>1212</v>
      </c>
      <c r="E47" s="700" t="s">
        <v>1212</v>
      </c>
      <c r="F47" s="700" t="s">
        <v>1232</v>
      </c>
      <c r="G47" s="717" t="s">
        <v>1233</v>
      </c>
      <c r="H47" s="700" t="s">
        <v>1213</v>
      </c>
      <c r="I47" s="700"/>
      <c r="J47" s="700" t="s">
        <v>1213</v>
      </c>
      <c r="K47" s="718">
        <v>1</v>
      </c>
      <c r="L47" s="718">
        <v>0</v>
      </c>
      <c r="M47" s="719">
        <v>0</v>
      </c>
    </row>
    <row r="48" spans="1:13">
      <c r="A48" s="716">
        <v>38</v>
      </c>
      <c r="B48" s="700" t="s">
        <v>1291</v>
      </c>
      <c r="C48" s="700">
        <v>0.4</v>
      </c>
      <c r="D48" s="721" t="s">
        <v>1211</v>
      </c>
      <c r="E48" s="721" t="s">
        <v>1211</v>
      </c>
      <c r="F48" s="700" t="s">
        <v>1232</v>
      </c>
      <c r="G48" s="717" t="s">
        <v>1233</v>
      </c>
      <c r="H48" s="700" t="s">
        <v>1213</v>
      </c>
      <c r="I48" s="700"/>
      <c r="J48" s="700" t="s">
        <v>1213</v>
      </c>
      <c r="K48" s="718">
        <v>0</v>
      </c>
      <c r="L48" s="718">
        <v>0</v>
      </c>
      <c r="M48" s="719">
        <v>0</v>
      </c>
    </row>
    <row r="49" spans="1:13">
      <c r="A49" s="716">
        <v>39</v>
      </c>
      <c r="B49" s="700" t="s">
        <v>1283</v>
      </c>
      <c r="C49" s="700">
        <v>10</v>
      </c>
      <c r="D49" s="721" t="s">
        <v>1211</v>
      </c>
      <c r="E49" s="721" t="s">
        <v>1211</v>
      </c>
      <c r="F49" s="700" t="s">
        <v>1232</v>
      </c>
      <c r="G49" s="717" t="s">
        <v>1233</v>
      </c>
      <c r="H49" s="700" t="s">
        <v>1213</v>
      </c>
      <c r="I49" s="700"/>
      <c r="J49" s="700" t="s">
        <v>1213</v>
      </c>
      <c r="K49" s="718">
        <v>0</v>
      </c>
      <c r="L49" s="718">
        <v>0</v>
      </c>
      <c r="M49" s="719">
        <v>0</v>
      </c>
    </row>
    <row r="50" spans="1:13">
      <c r="A50" s="716">
        <v>40</v>
      </c>
      <c r="B50" s="700" t="s">
        <v>1284</v>
      </c>
      <c r="C50" s="700">
        <v>10</v>
      </c>
      <c r="D50" s="721" t="s">
        <v>1211</v>
      </c>
      <c r="E50" s="721" t="s">
        <v>1211</v>
      </c>
      <c r="F50" s="700" t="s">
        <v>1232</v>
      </c>
      <c r="G50" s="717" t="s">
        <v>1233</v>
      </c>
      <c r="H50" s="700" t="s">
        <v>1213</v>
      </c>
      <c r="I50" s="700"/>
      <c r="J50" s="700" t="s">
        <v>1213</v>
      </c>
      <c r="K50" s="718">
        <v>0</v>
      </c>
      <c r="L50" s="718">
        <v>0</v>
      </c>
      <c r="M50" s="719">
        <v>0</v>
      </c>
    </row>
    <row r="51" spans="1:13">
      <c r="A51" s="716">
        <v>41</v>
      </c>
      <c r="B51" s="700" t="s">
        <v>1292</v>
      </c>
      <c r="C51" s="700">
        <v>0.4</v>
      </c>
      <c r="D51" s="721" t="s">
        <v>1211</v>
      </c>
      <c r="E51" s="721" t="s">
        <v>1211</v>
      </c>
      <c r="F51" s="700" t="s">
        <v>1232</v>
      </c>
      <c r="G51" s="717" t="s">
        <v>1233</v>
      </c>
      <c r="H51" s="700" t="s">
        <v>1213</v>
      </c>
      <c r="I51" s="700"/>
      <c r="J51" s="700" t="s">
        <v>1213</v>
      </c>
      <c r="K51" s="718">
        <v>0</v>
      </c>
      <c r="L51" s="718">
        <v>0</v>
      </c>
      <c r="M51" s="719">
        <v>0</v>
      </c>
    </row>
    <row r="52" spans="1:13">
      <c r="A52" s="716">
        <v>42</v>
      </c>
      <c r="B52" s="700" t="s">
        <v>1293</v>
      </c>
      <c r="C52" s="700">
        <v>0.4</v>
      </c>
      <c r="D52" s="721" t="s">
        <v>1211</v>
      </c>
      <c r="E52" s="721" t="s">
        <v>1211</v>
      </c>
      <c r="F52" s="700" t="s">
        <v>1232</v>
      </c>
      <c r="G52" s="717" t="s">
        <v>1233</v>
      </c>
      <c r="H52" s="700" t="s">
        <v>1213</v>
      </c>
      <c r="I52" s="700"/>
      <c r="J52" s="700" t="s">
        <v>1213</v>
      </c>
      <c r="K52" s="718">
        <v>0</v>
      </c>
      <c r="L52" s="718">
        <v>0</v>
      </c>
      <c r="M52" s="719">
        <v>0</v>
      </c>
    </row>
    <row r="53" spans="1:13">
      <c r="A53" s="716"/>
      <c r="B53" s="729" t="s">
        <v>1294</v>
      </c>
      <c r="C53" s="700"/>
      <c r="D53" s="700"/>
      <c r="E53" s="700"/>
      <c r="F53" s="700"/>
      <c r="G53" s="700"/>
      <c r="H53" s="700"/>
      <c r="I53" s="700"/>
      <c r="J53" s="700"/>
      <c r="K53" s="718"/>
      <c r="L53" s="718"/>
      <c r="M53" s="719"/>
    </row>
    <row r="54" spans="1:13">
      <c r="A54" s="716">
        <v>43</v>
      </c>
      <c r="B54" s="700" t="s">
        <v>1280</v>
      </c>
      <c r="C54" s="700">
        <v>110</v>
      </c>
      <c r="D54" s="700" t="s">
        <v>1212</v>
      </c>
      <c r="E54" s="700" t="s">
        <v>1212</v>
      </c>
      <c r="F54" s="700" t="s">
        <v>1232</v>
      </c>
      <c r="G54" s="717" t="s">
        <v>1233</v>
      </c>
      <c r="H54" s="700" t="s">
        <v>1213</v>
      </c>
      <c r="I54" s="700"/>
      <c r="J54" s="700" t="s">
        <v>1213</v>
      </c>
      <c r="K54" s="718">
        <v>1</v>
      </c>
      <c r="L54" s="718">
        <v>0</v>
      </c>
      <c r="M54" s="719">
        <v>0</v>
      </c>
    </row>
    <row r="55" spans="1:13">
      <c r="A55" s="716">
        <v>44</v>
      </c>
      <c r="B55" s="700" t="s">
        <v>1281</v>
      </c>
      <c r="C55" s="700">
        <v>110</v>
      </c>
      <c r="D55" s="700" t="s">
        <v>1212</v>
      </c>
      <c r="E55" s="700" t="s">
        <v>1212</v>
      </c>
      <c r="F55" s="700" t="s">
        <v>1232</v>
      </c>
      <c r="G55" s="717" t="s">
        <v>1233</v>
      </c>
      <c r="H55" s="700" t="s">
        <v>1213</v>
      </c>
      <c r="I55" s="700"/>
      <c r="J55" s="700" t="s">
        <v>1213</v>
      </c>
      <c r="K55" s="718">
        <v>1</v>
      </c>
      <c r="L55" s="718">
        <v>0</v>
      </c>
      <c r="M55" s="719">
        <v>0</v>
      </c>
    </row>
    <row r="56" spans="1:13">
      <c r="A56" s="716">
        <v>45</v>
      </c>
      <c r="B56" s="700" t="s">
        <v>1292</v>
      </c>
      <c r="C56" s="700">
        <v>0.4</v>
      </c>
      <c r="D56" s="721" t="s">
        <v>1211</v>
      </c>
      <c r="E56" s="721" t="s">
        <v>1211</v>
      </c>
      <c r="F56" s="700" t="s">
        <v>1232</v>
      </c>
      <c r="G56" s="717" t="s">
        <v>1233</v>
      </c>
      <c r="H56" s="700" t="s">
        <v>1213</v>
      </c>
      <c r="I56" s="700"/>
      <c r="J56" s="700" t="s">
        <v>1213</v>
      </c>
      <c r="K56" s="718">
        <v>0</v>
      </c>
      <c r="L56" s="718">
        <v>0</v>
      </c>
      <c r="M56" s="719">
        <v>0</v>
      </c>
    </row>
    <row r="57" spans="1:13">
      <c r="A57" s="716">
        <v>46</v>
      </c>
      <c r="B57" s="700" t="s">
        <v>1295</v>
      </c>
      <c r="C57" s="700">
        <v>110</v>
      </c>
      <c r="D57" s="700" t="s">
        <v>1212</v>
      </c>
      <c r="E57" s="700" t="s">
        <v>1212</v>
      </c>
      <c r="F57" s="700" t="s">
        <v>1232</v>
      </c>
      <c r="G57" s="717" t="s">
        <v>1233</v>
      </c>
      <c r="H57" s="700" t="s">
        <v>1213</v>
      </c>
      <c r="I57" s="700"/>
      <c r="J57" s="700" t="s">
        <v>1213</v>
      </c>
      <c r="K57" s="718">
        <v>1</v>
      </c>
      <c r="L57" s="718">
        <v>0</v>
      </c>
      <c r="M57" s="719">
        <v>0</v>
      </c>
    </row>
    <row r="58" spans="1:13">
      <c r="A58" s="716"/>
      <c r="B58" s="729" t="s">
        <v>1296</v>
      </c>
      <c r="C58" s="700"/>
      <c r="D58" s="700"/>
      <c r="E58" s="700"/>
      <c r="F58" s="700"/>
      <c r="G58" s="717"/>
      <c r="H58" s="700"/>
      <c r="I58" s="700"/>
      <c r="J58" s="700"/>
      <c r="K58" s="718"/>
      <c r="L58" s="718"/>
      <c r="M58" s="719"/>
    </row>
    <row r="59" spans="1:13" ht="25.5">
      <c r="A59" s="716">
        <v>47</v>
      </c>
      <c r="B59" s="700" t="s">
        <v>1297</v>
      </c>
      <c r="C59" s="700">
        <v>110</v>
      </c>
      <c r="D59" s="700" t="s">
        <v>1212</v>
      </c>
      <c r="E59" s="700" t="s">
        <v>1212</v>
      </c>
      <c r="F59" s="700" t="s">
        <v>1232</v>
      </c>
      <c r="G59" s="717" t="s">
        <v>1233</v>
      </c>
      <c r="H59" s="700" t="s">
        <v>1213</v>
      </c>
      <c r="I59" s="700"/>
      <c r="J59" s="700" t="s">
        <v>1213</v>
      </c>
      <c r="K59" s="718">
        <v>1</v>
      </c>
      <c r="L59" s="718">
        <v>0</v>
      </c>
      <c r="M59" s="719">
        <v>0</v>
      </c>
    </row>
    <row r="60" spans="1:13" ht="25.5">
      <c r="A60" s="716">
        <v>48</v>
      </c>
      <c r="B60" s="700" t="s">
        <v>1298</v>
      </c>
      <c r="C60" s="700">
        <v>110</v>
      </c>
      <c r="D60" s="700" t="s">
        <v>1212</v>
      </c>
      <c r="E60" s="700" t="s">
        <v>1212</v>
      </c>
      <c r="F60" s="700" t="s">
        <v>1232</v>
      </c>
      <c r="G60" s="717" t="s">
        <v>1233</v>
      </c>
      <c r="H60" s="700" t="s">
        <v>1213</v>
      </c>
      <c r="I60" s="700"/>
      <c r="J60" s="700" t="s">
        <v>1213</v>
      </c>
      <c r="K60" s="718">
        <v>1</v>
      </c>
      <c r="L60" s="718">
        <v>0</v>
      </c>
      <c r="M60" s="719">
        <v>0</v>
      </c>
    </row>
    <row r="61" spans="1:13" ht="25.5">
      <c r="A61" s="716">
        <v>49</v>
      </c>
      <c r="B61" s="700" t="s">
        <v>1299</v>
      </c>
      <c r="C61" s="700">
        <v>110</v>
      </c>
      <c r="D61" s="700" t="s">
        <v>1212</v>
      </c>
      <c r="E61" s="700" t="s">
        <v>1212</v>
      </c>
      <c r="F61" s="700" t="s">
        <v>1232</v>
      </c>
      <c r="G61" s="717" t="s">
        <v>1233</v>
      </c>
      <c r="H61" s="700" t="s">
        <v>1213</v>
      </c>
      <c r="I61" s="700"/>
      <c r="J61" s="700" t="s">
        <v>1213</v>
      </c>
      <c r="K61" s="718">
        <v>1</v>
      </c>
      <c r="L61" s="718">
        <v>0</v>
      </c>
      <c r="M61" s="719">
        <v>0</v>
      </c>
    </row>
    <row r="62" spans="1:13">
      <c r="A62" s="716">
        <v>50</v>
      </c>
      <c r="B62" s="700" t="s">
        <v>1300</v>
      </c>
      <c r="C62" s="700">
        <v>110</v>
      </c>
      <c r="D62" s="700" t="s">
        <v>1212</v>
      </c>
      <c r="E62" s="700" t="s">
        <v>1212</v>
      </c>
      <c r="F62" s="700" t="s">
        <v>1232</v>
      </c>
      <c r="G62" s="717" t="s">
        <v>1233</v>
      </c>
      <c r="H62" s="700" t="s">
        <v>1213</v>
      </c>
      <c r="I62" s="700"/>
      <c r="J62" s="700" t="s">
        <v>1213</v>
      </c>
      <c r="K62" s="718">
        <v>1</v>
      </c>
      <c r="L62" s="718">
        <v>0</v>
      </c>
      <c r="M62" s="719">
        <v>0</v>
      </c>
    </row>
    <row r="63" spans="1:13" ht="25.5">
      <c r="A63" s="716">
        <v>51</v>
      </c>
      <c r="B63" s="700" t="s">
        <v>342</v>
      </c>
      <c r="C63" s="700">
        <v>10</v>
      </c>
      <c r="D63" s="721" t="s">
        <v>1211</v>
      </c>
      <c r="E63" s="700" t="s">
        <v>1212</v>
      </c>
      <c r="F63" s="700" t="s">
        <v>1222</v>
      </c>
      <c r="G63" s="700" t="s">
        <v>1223</v>
      </c>
      <c r="H63" s="700" t="s">
        <v>1213</v>
      </c>
      <c r="I63" s="700"/>
      <c r="J63" s="700" t="s">
        <v>1213</v>
      </c>
      <c r="K63" s="718">
        <v>0</v>
      </c>
      <c r="L63" s="718">
        <v>0</v>
      </c>
      <c r="M63" s="719">
        <v>0</v>
      </c>
    </row>
    <row r="64" spans="1:13">
      <c r="A64" s="716">
        <v>52</v>
      </c>
      <c r="B64" s="700" t="s">
        <v>1301</v>
      </c>
      <c r="C64" s="700">
        <v>35</v>
      </c>
      <c r="D64" s="721" t="s">
        <v>1211</v>
      </c>
      <c r="E64" s="700">
        <v>0.5</v>
      </c>
      <c r="F64" s="726" t="s">
        <v>1302</v>
      </c>
      <c r="G64" s="717" t="s">
        <v>1303</v>
      </c>
      <c r="H64" s="700" t="s">
        <v>1304</v>
      </c>
      <c r="I64" s="699"/>
      <c r="J64" s="700" t="s">
        <v>1213</v>
      </c>
      <c r="K64" s="724">
        <v>0</v>
      </c>
      <c r="L64" s="718">
        <v>0</v>
      </c>
      <c r="M64" s="719">
        <v>0</v>
      </c>
    </row>
    <row r="65" spans="1:13">
      <c r="A65" s="716">
        <v>53</v>
      </c>
      <c r="B65" s="700" t="s">
        <v>1305</v>
      </c>
      <c r="C65" s="700">
        <v>110</v>
      </c>
      <c r="D65" s="721" t="s">
        <v>1211</v>
      </c>
      <c r="E65" s="700">
        <v>0.5</v>
      </c>
      <c r="F65" s="726" t="s">
        <v>1302</v>
      </c>
      <c r="G65" s="717" t="s">
        <v>1303</v>
      </c>
      <c r="H65" s="700" t="s">
        <v>1213</v>
      </c>
      <c r="I65" s="699"/>
      <c r="J65" s="700" t="s">
        <v>1213</v>
      </c>
      <c r="K65" s="718">
        <v>0</v>
      </c>
      <c r="L65" s="718">
        <v>0</v>
      </c>
      <c r="M65" s="719">
        <v>0</v>
      </c>
    </row>
    <row r="66" spans="1:13">
      <c r="A66" s="716">
        <v>54</v>
      </c>
      <c r="B66" s="700" t="s">
        <v>1306</v>
      </c>
      <c r="C66" s="700">
        <v>10</v>
      </c>
      <c r="D66" s="721" t="s">
        <v>1211</v>
      </c>
      <c r="E66" s="700" t="s">
        <v>1212</v>
      </c>
      <c r="F66" s="700" t="s">
        <v>1222</v>
      </c>
      <c r="G66" s="700" t="s">
        <v>1223</v>
      </c>
      <c r="H66" s="700" t="s">
        <v>1213</v>
      </c>
      <c r="I66" s="699"/>
      <c r="J66" s="700" t="s">
        <v>1213</v>
      </c>
      <c r="K66" s="718">
        <v>0</v>
      </c>
      <c r="L66" s="718">
        <v>0</v>
      </c>
      <c r="M66" s="719">
        <v>0</v>
      </c>
    </row>
    <row r="67" spans="1:13">
      <c r="A67" s="716">
        <v>55</v>
      </c>
      <c r="B67" s="700" t="s">
        <v>1307</v>
      </c>
      <c r="C67" s="700">
        <v>10</v>
      </c>
      <c r="D67" s="721" t="s">
        <v>1211</v>
      </c>
      <c r="E67" s="700" t="s">
        <v>1212</v>
      </c>
      <c r="F67" s="700" t="s">
        <v>1222</v>
      </c>
      <c r="G67" s="700" t="s">
        <v>1223</v>
      </c>
      <c r="H67" s="700" t="s">
        <v>1213</v>
      </c>
      <c r="I67" s="699"/>
      <c r="J67" s="700" t="s">
        <v>1213</v>
      </c>
      <c r="K67" s="718">
        <v>0</v>
      </c>
      <c r="L67" s="718">
        <v>0</v>
      </c>
      <c r="M67" s="719">
        <v>0</v>
      </c>
    </row>
    <row r="68" spans="1:13">
      <c r="A68" s="716">
        <v>56</v>
      </c>
      <c r="B68" s="700" t="s">
        <v>1308</v>
      </c>
      <c r="C68" s="700">
        <v>10</v>
      </c>
      <c r="D68" s="721" t="s">
        <v>1211</v>
      </c>
      <c r="E68" s="700" t="s">
        <v>1212</v>
      </c>
      <c r="F68" s="700" t="s">
        <v>1222</v>
      </c>
      <c r="G68" s="700" t="s">
        <v>1223</v>
      </c>
      <c r="H68" s="700" t="s">
        <v>1213</v>
      </c>
      <c r="I68" s="699"/>
      <c r="J68" s="700" t="s">
        <v>1213</v>
      </c>
      <c r="K68" s="718">
        <v>0</v>
      </c>
      <c r="L68" s="718">
        <v>0</v>
      </c>
      <c r="M68" s="719">
        <v>0</v>
      </c>
    </row>
    <row r="69" spans="1:13" ht="25.5">
      <c r="A69" s="716">
        <v>57</v>
      </c>
      <c r="B69" s="727" t="s">
        <v>343</v>
      </c>
      <c r="C69" s="700">
        <v>0.4</v>
      </c>
      <c r="D69" s="721" t="s">
        <v>1211</v>
      </c>
      <c r="E69" s="700" t="s">
        <v>1228</v>
      </c>
      <c r="F69" s="700" t="s">
        <v>1229</v>
      </c>
      <c r="G69" s="700" t="s">
        <v>1223</v>
      </c>
      <c r="H69" s="700" t="s">
        <v>1213</v>
      </c>
      <c r="I69" s="727"/>
      <c r="J69" s="700" t="s">
        <v>1213</v>
      </c>
      <c r="K69" s="718">
        <v>0</v>
      </c>
      <c r="L69" s="718">
        <v>0</v>
      </c>
      <c r="M69" s="719">
        <v>0</v>
      </c>
    </row>
    <row r="70" spans="1:13" ht="25.5">
      <c r="A70" s="716">
        <v>58</v>
      </c>
      <c r="B70" s="727" t="s">
        <v>344</v>
      </c>
      <c r="C70" s="700">
        <v>0.4</v>
      </c>
      <c r="D70" s="721" t="s">
        <v>1211</v>
      </c>
      <c r="E70" s="700" t="s">
        <v>1228</v>
      </c>
      <c r="F70" s="700" t="s">
        <v>1229</v>
      </c>
      <c r="G70" s="700" t="s">
        <v>1223</v>
      </c>
      <c r="H70" s="700" t="s">
        <v>1213</v>
      </c>
      <c r="I70" s="727"/>
      <c r="J70" s="700" t="s">
        <v>1213</v>
      </c>
      <c r="K70" s="718">
        <v>0</v>
      </c>
      <c r="L70" s="718">
        <v>0</v>
      </c>
      <c r="M70" s="719">
        <v>0</v>
      </c>
    </row>
    <row r="71" spans="1:13" ht="25.5">
      <c r="A71" s="716">
        <v>59</v>
      </c>
      <c r="B71" s="727" t="s">
        <v>345</v>
      </c>
      <c r="C71" s="700">
        <v>0.4</v>
      </c>
      <c r="D71" s="721" t="s">
        <v>1211</v>
      </c>
      <c r="E71" s="700" t="s">
        <v>1212</v>
      </c>
      <c r="F71" s="700" t="s">
        <v>1222</v>
      </c>
      <c r="G71" s="700" t="s">
        <v>1223</v>
      </c>
      <c r="H71" s="700" t="s">
        <v>1213</v>
      </c>
      <c r="I71" s="727"/>
      <c r="J71" s="700" t="s">
        <v>1213</v>
      </c>
      <c r="K71" s="718">
        <v>0</v>
      </c>
      <c r="L71" s="718">
        <v>0</v>
      </c>
      <c r="M71" s="719">
        <v>0</v>
      </c>
    </row>
    <row r="72" spans="1:13">
      <c r="A72" s="716"/>
      <c r="B72" s="729" t="s">
        <v>1309</v>
      </c>
      <c r="C72" s="700"/>
      <c r="D72" s="700"/>
      <c r="E72" s="700"/>
      <c r="F72" s="700"/>
      <c r="G72" s="700"/>
      <c r="H72" s="700"/>
      <c r="I72" s="700"/>
      <c r="J72" s="700"/>
      <c r="K72" s="718"/>
      <c r="L72" s="718"/>
      <c r="M72" s="719"/>
    </row>
    <row r="73" spans="1:13">
      <c r="A73" s="716">
        <v>60</v>
      </c>
      <c r="B73" s="700" t="s">
        <v>1310</v>
      </c>
      <c r="C73" s="700">
        <v>110</v>
      </c>
      <c r="D73" s="700" t="s">
        <v>1212</v>
      </c>
      <c r="E73" s="700" t="s">
        <v>1212</v>
      </c>
      <c r="F73" s="700" t="s">
        <v>1222</v>
      </c>
      <c r="G73" s="700" t="s">
        <v>1223</v>
      </c>
      <c r="H73" s="700" t="s">
        <v>1213</v>
      </c>
      <c r="I73" s="700"/>
      <c r="J73" s="700" t="s">
        <v>1213</v>
      </c>
      <c r="K73" s="718">
        <v>1</v>
      </c>
      <c r="L73" s="718">
        <v>0</v>
      </c>
      <c r="M73" s="719">
        <v>0</v>
      </c>
    </row>
    <row r="74" spans="1:13">
      <c r="A74" s="716">
        <v>61</v>
      </c>
      <c r="B74" s="700" t="s">
        <v>1311</v>
      </c>
      <c r="C74" s="700">
        <v>110</v>
      </c>
      <c r="D74" s="700" t="s">
        <v>1212</v>
      </c>
      <c r="E74" s="700" t="s">
        <v>1212</v>
      </c>
      <c r="F74" s="700" t="s">
        <v>1222</v>
      </c>
      <c r="G74" s="700" t="s">
        <v>1223</v>
      </c>
      <c r="H74" s="700" t="s">
        <v>1213</v>
      </c>
      <c r="I74" s="700"/>
      <c r="J74" s="700" t="s">
        <v>1213</v>
      </c>
      <c r="K74" s="718">
        <v>1</v>
      </c>
      <c r="L74" s="718">
        <v>0</v>
      </c>
      <c r="M74" s="719">
        <v>0</v>
      </c>
    </row>
    <row r="75" spans="1:13" ht="30">
      <c r="A75" s="716">
        <v>62</v>
      </c>
      <c r="B75" s="265" t="s">
        <v>1312</v>
      </c>
      <c r="C75" s="265">
        <v>35</v>
      </c>
      <c r="D75" s="700" t="s">
        <v>1212</v>
      </c>
      <c r="E75" s="700" t="s">
        <v>1212</v>
      </c>
      <c r="F75" s="700" t="s">
        <v>1222</v>
      </c>
      <c r="G75" s="700" t="s">
        <v>1223</v>
      </c>
      <c r="H75" s="700" t="s">
        <v>1213</v>
      </c>
      <c r="I75" s="700"/>
      <c r="J75" s="700" t="s">
        <v>1213</v>
      </c>
      <c r="K75" s="718">
        <v>0</v>
      </c>
      <c r="L75" s="718">
        <v>0</v>
      </c>
      <c r="M75" s="719">
        <v>0</v>
      </c>
    </row>
    <row r="76" spans="1:13" ht="15">
      <c r="A76" s="716">
        <v>63</v>
      </c>
      <c r="B76" s="265" t="s">
        <v>1313</v>
      </c>
      <c r="C76" s="265">
        <v>35</v>
      </c>
      <c r="D76" s="700" t="s">
        <v>1212</v>
      </c>
      <c r="E76" s="700" t="s">
        <v>1212</v>
      </c>
      <c r="F76" s="700" t="s">
        <v>1222</v>
      </c>
      <c r="G76" s="700" t="s">
        <v>1223</v>
      </c>
      <c r="H76" s="700" t="s">
        <v>1213</v>
      </c>
      <c r="I76" s="700"/>
      <c r="J76" s="700" t="s">
        <v>1213</v>
      </c>
      <c r="K76" s="718">
        <v>0</v>
      </c>
      <c r="L76" s="718">
        <v>0</v>
      </c>
      <c r="M76" s="719">
        <v>0</v>
      </c>
    </row>
    <row r="77" spans="1:13">
      <c r="A77" s="716"/>
      <c r="B77" s="729" t="s">
        <v>1314</v>
      </c>
      <c r="C77" s="700"/>
      <c r="D77" s="700"/>
      <c r="E77" s="700"/>
      <c r="F77" s="700"/>
      <c r="G77" s="700"/>
      <c r="H77" s="700"/>
      <c r="I77" s="700"/>
      <c r="J77" s="700"/>
      <c r="K77" s="718"/>
      <c r="L77" s="718"/>
      <c r="M77" s="719"/>
    </row>
    <row r="78" spans="1:13">
      <c r="A78" s="716">
        <v>64</v>
      </c>
      <c r="B78" s="700" t="s">
        <v>1310</v>
      </c>
      <c r="C78" s="700">
        <v>110</v>
      </c>
      <c r="D78" s="700" t="s">
        <v>1212</v>
      </c>
      <c r="E78" s="700" t="s">
        <v>1212</v>
      </c>
      <c r="F78" s="700" t="s">
        <v>1222</v>
      </c>
      <c r="G78" s="700" t="s">
        <v>1223</v>
      </c>
      <c r="H78" s="700" t="s">
        <v>1213</v>
      </c>
      <c r="I78" s="700"/>
      <c r="J78" s="700" t="s">
        <v>1213</v>
      </c>
      <c r="K78" s="718">
        <v>1</v>
      </c>
      <c r="L78" s="718">
        <v>0</v>
      </c>
      <c r="M78" s="719">
        <v>0</v>
      </c>
    </row>
    <row r="79" spans="1:13">
      <c r="A79" s="716">
        <v>65</v>
      </c>
      <c r="B79" s="700" t="s">
        <v>1311</v>
      </c>
      <c r="C79" s="700">
        <v>110</v>
      </c>
      <c r="D79" s="700" t="s">
        <v>1212</v>
      </c>
      <c r="E79" s="700" t="s">
        <v>1212</v>
      </c>
      <c r="F79" s="700" t="s">
        <v>1222</v>
      </c>
      <c r="G79" s="700" t="s">
        <v>1223</v>
      </c>
      <c r="H79" s="700" t="s">
        <v>1213</v>
      </c>
      <c r="I79" s="700"/>
      <c r="J79" s="700" t="s">
        <v>1213</v>
      </c>
      <c r="K79" s="718">
        <v>1</v>
      </c>
      <c r="L79" s="718">
        <v>0</v>
      </c>
      <c r="M79" s="719">
        <v>0</v>
      </c>
    </row>
    <row r="80" spans="1:13" ht="30">
      <c r="A80" s="716">
        <v>66</v>
      </c>
      <c r="B80" s="265" t="s">
        <v>1315</v>
      </c>
      <c r="C80" s="265">
        <v>35</v>
      </c>
      <c r="D80" s="721" t="s">
        <v>1211</v>
      </c>
      <c r="E80" s="700" t="s">
        <v>1212</v>
      </c>
      <c r="F80" s="700" t="s">
        <v>1222</v>
      </c>
      <c r="G80" s="700" t="s">
        <v>1223</v>
      </c>
      <c r="H80" s="700" t="s">
        <v>1213</v>
      </c>
      <c r="I80" s="700"/>
      <c r="J80" s="700" t="s">
        <v>1213</v>
      </c>
      <c r="K80" s="718">
        <v>0</v>
      </c>
      <c r="L80" s="718">
        <v>0</v>
      </c>
      <c r="M80" s="719">
        <v>0</v>
      </c>
    </row>
    <row r="81" spans="1:13" ht="30">
      <c r="A81" s="716">
        <v>67</v>
      </c>
      <c r="B81" s="265" t="s">
        <v>1316</v>
      </c>
      <c r="C81" s="265">
        <v>35</v>
      </c>
      <c r="D81" s="700" t="s">
        <v>1212</v>
      </c>
      <c r="E81" s="700" t="s">
        <v>1212</v>
      </c>
      <c r="F81" s="700" t="s">
        <v>1222</v>
      </c>
      <c r="G81" s="700" t="s">
        <v>1223</v>
      </c>
      <c r="H81" s="700" t="s">
        <v>1213</v>
      </c>
      <c r="I81" s="700"/>
      <c r="J81" s="700" t="s">
        <v>1213</v>
      </c>
      <c r="K81" s="718">
        <v>0</v>
      </c>
      <c r="L81" s="718">
        <v>0</v>
      </c>
      <c r="M81" s="719">
        <v>0</v>
      </c>
    </row>
    <row r="82" spans="1:13" ht="15">
      <c r="A82" s="716">
        <v>68</v>
      </c>
      <c r="B82" s="265" t="s">
        <v>1317</v>
      </c>
      <c r="C82" s="265">
        <v>35</v>
      </c>
      <c r="D82" s="700" t="s">
        <v>1212</v>
      </c>
      <c r="E82" s="700" t="s">
        <v>1212</v>
      </c>
      <c r="F82" s="700" t="s">
        <v>1222</v>
      </c>
      <c r="G82" s="700" t="s">
        <v>1223</v>
      </c>
      <c r="H82" s="700" t="s">
        <v>1213</v>
      </c>
      <c r="I82" s="700"/>
      <c r="J82" s="700" t="s">
        <v>1213</v>
      </c>
      <c r="K82" s="718">
        <v>0</v>
      </c>
      <c r="L82" s="718">
        <v>0</v>
      </c>
      <c r="M82" s="719">
        <v>0</v>
      </c>
    </row>
    <row r="83" spans="1:13" ht="30">
      <c r="A83" s="716">
        <v>69</v>
      </c>
      <c r="B83" s="265" t="s">
        <v>1318</v>
      </c>
      <c r="C83" s="265">
        <v>35</v>
      </c>
      <c r="D83" s="700" t="s">
        <v>1212</v>
      </c>
      <c r="E83" s="700" t="s">
        <v>1212</v>
      </c>
      <c r="F83" s="700" t="s">
        <v>1222</v>
      </c>
      <c r="G83" s="700" t="s">
        <v>1223</v>
      </c>
      <c r="H83" s="700" t="s">
        <v>1213</v>
      </c>
      <c r="I83" s="700"/>
      <c r="J83" s="700" t="s">
        <v>1213</v>
      </c>
      <c r="K83" s="718">
        <v>0</v>
      </c>
      <c r="L83" s="718">
        <v>0</v>
      </c>
      <c r="M83" s="719">
        <v>0</v>
      </c>
    </row>
    <row r="84" spans="1:13" ht="30">
      <c r="A84" s="716">
        <v>70</v>
      </c>
      <c r="B84" s="265" t="s">
        <v>1319</v>
      </c>
      <c r="C84" s="265">
        <v>35</v>
      </c>
      <c r="D84" s="700" t="s">
        <v>1212</v>
      </c>
      <c r="E84" s="700" t="s">
        <v>1212</v>
      </c>
      <c r="F84" s="700" t="s">
        <v>1222</v>
      </c>
      <c r="G84" s="700" t="s">
        <v>1223</v>
      </c>
      <c r="H84" s="700" t="s">
        <v>1213</v>
      </c>
      <c r="I84" s="700"/>
      <c r="J84" s="700" t="s">
        <v>1213</v>
      </c>
      <c r="K84" s="718">
        <v>0</v>
      </c>
      <c r="L84" s="718">
        <v>0</v>
      </c>
      <c r="M84" s="719">
        <v>0</v>
      </c>
    </row>
    <row r="85" spans="1:13" ht="25.5">
      <c r="A85" s="716">
        <v>71</v>
      </c>
      <c r="B85" s="727" t="s">
        <v>346</v>
      </c>
      <c r="C85" s="265">
        <v>10</v>
      </c>
      <c r="D85" s="721" t="s">
        <v>1211</v>
      </c>
      <c r="E85" s="700" t="s">
        <v>1212</v>
      </c>
      <c r="F85" s="700" t="s">
        <v>1222</v>
      </c>
      <c r="G85" s="700" t="s">
        <v>1223</v>
      </c>
      <c r="H85" s="700" t="s">
        <v>1213</v>
      </c>
      <c r="I85" s="700"/>
      <c r="J85" s="700" t="s">
        <v>1213</v>
      </c>
      <c r="K85" s="718">
        <v>0</v>
      </c>
      <c r="L85" s="718">
        <v>0</v>
      </c>
      <c r="M85" s="719">
        <v>0</v>
      </c>
    </row>
    <row r="86" spans="1:13" ht="25.5">
      <c r="A86" s="716">
        <v>72</v>
      </c>
      <c r="B86" s="700" t="s">
        <v>335</v>
      </c>
      <c r="C86" s="265">
        <v>10</v>
      </c>
      <c r="D86" s="721" t="s">
        <v>1211</v>
      </c>
      <c r="E86" s="700" t="s">
        <v>1212</v>
      </c>
      <c r="F86" s="700" t="s">
        <v>1222</v>
      </c>
      <c r="G86" s="700" t="s">
        <v>1223</v>
      </c>
      <c r="H86" s="700" t="s">
        <v>1213</v>
      </c>
      <c r="I86" s="700"/>
      <c r="J86" s="700" t="s">
        <v>1213</v>
      </c>
      <c r="K86" s="718">
        <v>0</v>
      </c>
      <c r="L86" s="718">
        <v>0</v>
      </c>
      <c r="M86" s="719">
        <v>0</v>
      </c>
    </row>
    <row r="87" spans="1:13" ht="25.5">
      <c r="A87" s="716">
        <v>73</v>
      </c>
      <c r="B87" s="727" t="s">
        <v>336</v>
      </c>
      <c r="C87" s="265">
        <v>10</v>
      </c>
      <c r="D87" s="721" t="s">
        <v>1211</v>
      </c>
      <c r="E87" s="700" t="s">
        <v>1212</v>
      </c>
      <c r="F87" s="700" t="s">
        <v>1222</v>
      </c>
      <c r="G87" s="700" t="s">
        <v>1223</v>
      </c>
      <c r="H87" s="700" t="s">
        <v>1213</v>
      </c>
      <c r="I87" s="700"/>
      <c r="J87" s="700" t="s">
        <v>1213</v>
      </c>
      <c r="K87" s="718">
        <v>0</v>
      </c>
      <c r="L87" s="718">
        <v>0</v>
      </c>
      <c r="M87" s="719">
        <v>0</v>
      </c>
    </row>
    <row r="88" spans="1:13" ht="38.25">
      <c r="A88" s="716">
        <v>74</v>
      </c>
      <c r="B88" s="700" t="s">
        <v>337</v>
      </c>
      <c r="C88" s="265">
        <v>10</v>
      </c>
      <c r="D88" s="721" t="s">
        <v>1211</v>
      </c>
      <c r="E88" s="700" t="s">
        <v>1212</v>
      </c>
      <c r="F88" s="700" t="s">
        <v>1222</v>
      </c>
      <c r="G88" s="700" t="s">
        <v>1223</v>
      </c>
      <c r="H88" s="700" t="s">
        <v>1213</v>
      </c>
      <c r="I88" s="700"/>
      <c r="J88" s="700" t="s">
        <v>1213</v>
      </c>
      <c r="K88" s="718">
        <v>0</v>
      </c>
      <c r="L88" s="718">
        <v>0</v>
      </c>
      <c r="M88" s="719">
        <v>0</v>
      </c>
    </row>
    <row r="89" spans="1:13" ht="15">
      <c r="A89" s="467"/>
      <c r="B89" s="729" t="s">
        <v>1320</v>
      </c>
      <c r="C89" s="265">
        <v>10</v>
      </c>
      <c r="D89" s="721" t="s">
        <v>1211</v>
      </c>
      <c r="E89" s="700" t="s">
        <v>1212</v>
      </c>
      <c r="F89" s="700" t="s">
        <v>1222</v>
      </c>
      <c r="G89" s="700" t="s">
        <v>1223</v>
      </c>
      <c r="H89" s="700" t="s">
        <v>1213</v>
      </c>
      <c r="I89" s="700"/>
      <c r="J89" s="700" t="s">
        <v>1213</v>
      </c>
      <c r="K89" s="718">
        <v>0</v>
      </c>
      <c r="L89" s="718">
        <v>0</v>
      </c>
      <c r="M89" s="719">
        <v>0</v>
      </c>
    </row>
    <row r="90" spans="1:13" ht="30">
      <c r="A90" s="467">
        <v>75</v>
      </c>
      <c r="B90" s="265" t="s">
        <v>1321</v>
      </c>
      <c r="C90" s="265">
        <v>10</v>
      </c>
      <c r="D90" s="721" t="s">
        <v>1211</v>
      </c>
      <c r="E90" s="700" t="s">
        <v>1212</v>
      </c>
      <c r="F90" s="700" t="s">
        <v>1222</v>
      </c>
      <c r="G90" s="700" t="s">
        <v>1223</v>
      </c>
      <c r="H90" s="700" t="s">
        <v>1213</v>
      </c>
      <c r="I90" s="700"/>
      <c r="J90" s="700" t="s">
        <v>1213</v>
      </c>
      <c r="K90" s="718">
        <v>0</v>
      </c>
      <c r="L90" s="718">
        <v>0</v>
      </c>
      <c r="M90" s="719">
        <v>0</v>
      </c>
    </row>
    <row r="91" spans="1:13" ht="30">
      <c r="A91" s="467">
        <v>76</v>
      </c>
      <c r="B91" s="265" t="s">
        <v>1321</v>
      </c>
      <c r="C91" s="265">
        <v>10</v>
      </c>
      <c r="D91" s="721" t="s">
        <v>1211</v>
      </c>
      <c r="E91" s="700" t="s">
        <v>1212</v>
      </c>
      <c r="F91" s="700" t="s">
        <v>1222</v>
      </c>
      <c r="G91" s="700" t="s">
        <v>1223</v>
      </c>
      <c r="H91" s="700" t="s">
        <v>1213</v>
      </c>
      <c r="I91" s="700"/>
      <c r="J91" s="700" t="s">
        <v>1213</v>
      </c>
      <c r="K91" s="718">
        <v>0</v>
      </c>
      <c r="L91" s="718">
        <v>0</v>
      </c>
      <c r="M91" s="719">
        <v>0</v>
      </c>
    </row>
    <row r="92" spans="1:13" ht="30">
      <c r="A92" s="467">
        <v>77</v>
      </c>
      <c r="B92" s="265" t="s">
        <v>1322</v>
      </c>
      <c r="C92" s="265">
        <v>10</v>
      </c>
      <c r="D92" s="721" t="s">
        <v>1211</v>
      </c>
      <c r="E92" s="700" t="s">
        <v>1212</v>
      </c>
      <c r="F92" s="700" t="s">
        <v>1222</v>
      </c>
      <c r="G92" s="700" t="s">
        <v>1223</v>
      </c>
      <c r="H92" s="700" t="s">
        <v>1213</v>
      </c>
      <c r="I92" s="700"/>
      <c r="J92" s="700" t="s">
        <v>1213</v>
      </c>
      <c r="K92" s="718">
        <v>0</v>
      </c>
      <c r="L92" s="718">
        <v>0</v>
      </c>
      <c r="M92" s="719">
        <v>0</v>
      </c>
    </row>
    <row r="93" spans="1:13" ht="25.5">
      <c r="A93" s="467">
        <v>78</v>
      </c>
      <c r="B93" s="727" t="s">
        <v>338</v>
      </c>
      <c r="C93" s="265">
        <v>10</v>
      </c>
      <c r="D93" s="721" t="s">
        <v>1211</v>
      </c>
      <c r="E93" s="700" t="s">
        <v>1212</v>
      </c>
      <c r="F93" s="700" t="s">
        <v>1222</v>
      </c>
      <c r="G93" s="700" t="s">
        <v>1223</v>
      </c>
      <c r="H93" s="700" t="s">
        <v>1213</v>
      </c>
      <c r="I93" s="700"/>
      <c r="J93" s="700" t="s">
        <v>1213</v>
      </c>
      <c r="K93" s="718">
        <v>0</v>
      </c>
      <c r="L93" s="718">
        <v>0</v>
      </c>
      <c r="M93" s="719">
        <v>0</v>
      </c>
    </row>
    <row r="94" spans="1:13" ht="25.5">
      <c r="A94" s="467">
        <v>79</v>
      </c>
      <c r="B94" s="727" t="s">
        <v>339</v>
      </c>
      <c r="C94" s="265">
        <v>10</v>
      </c>
      <c r="D94" s="721" t="s">
        <v>1211</v>
      </c>
      <c r="E94" s="700" t="s">
        <v>1212</v>
      </c>
      <c r="F94" s="700" t="s">
        <v>1222</v>
      </c>
      <c r="G94" s="700" t="s">
        <v>1223</v>
      </c>
      <c r="H94" s="700" t="s">
        <v>1213</v>
      </c>
      <c r="I94" s="700"/>
      <c r="J94" s="700" t="s">
        <v>1213</v>
      </c>
      <c r="K94" s="718">
        <v>0</v>
      </c>
      <c r="L94" s="718">
        <v>0</v>
      </c>
      <c r="M94" s="719">
        <v>0</v>
      </c>
    </row>
    <row r="95" spans="1:13" ht="25.5">
      <c r="A95" s="467">
        <v>80</v>
      </c>
      <c r="B95" s="727" t="s">
        <v>340</v>
      </c>
      <c r="C95" s="265">
        <v>10</v>
      </c>
      <c r="D95" s="721" t="s">
        <v>1211</v>
      </c>
      <c r="E95" s="700" t="s">
        <v>1212</v>
      </c>
      <c r="F95" s="700" t="s">
        <v>1222</v>
      </c>
      <c r="G95" s="700" t="s">
        <v>1223</v>
      </c>
      <c r="H95" s="700" t="s">
        <v>1213</v>
      </c>
      <c r="I95" s="700"/>
      <c r="J95" s="700" t="s">
        <v>1213</v>
      </c>
      <c r="K95" s="718">
        <v>0</v>
      </c>
      <c r="L95" s="718">
        <v>0</v>
      </c>
      <c r="M95" s="719">
        <v>0</v>
      </c>
    </row>
    <row r="96" spans="1:13" ht="15">
      <c r="A96" s="467"/>
      <c r="B96" s="729" t="s">
        <v>1323</v>
      </c>
      <c r="C96" s="265">
        <v>10</v>
      </c>
      <c r="D96" s="721" t="s">
        <v>1211</v>
      </c>
      <c r="E96" s="700" t="s">
        <v>1212</v>
      </c>
      <c r="F96" s="700" t="s">
        <v>1222</v>
      </c>
      <c r="G96" s="700" t="s">
        <v>1223</v>
      </c>
      <c r="H96" s="700" t="s">
        <v>1213</v>
      </c>
      <c r="I96" s="700"/>
      <c r="J96" s="700" t="s">
        <v>1213</v>
      </c>
      <c r="K96" s="718">
        <v>0</v>
      </c>
      <c r="L96" s="718">
        <v>0</v>
      </c>
      <c r="M96" s="719">
        <v>0</v>
      </c>
    </row>
    <row r="97" spans="1:13" ht="30">
      <c r="A97" s="467">
        <v>81</v>
      </c>
      <c r="B97" s="265" t="s">
        <v>1324</v>
      </c>
      <c r="C97" s="265">
        <v>10</v>
      </c>
      <c r="D97" s="721" t="s">
        <v>1211</v>
      </c>
      <c r="E97" s="700" t="s">
        <v>1212</v>
      </c>
      <c r="F97" s="700" t="s">
        <v>1222</v>
      </c>
      <c r="G97" s="700" t="s">
        <v>1223</v>
      </c>
      <c r="H97" s="700" t="s">
        <v>1213</v>
      </c>
      <c r="I97" s="700"/>
      <c r="J97" s="700" t="s">
        <v>1213</v>
      </c>
      <c r="K97" s="718">
        <v>0</v>
      </c>
      <c r="L97" s="718">
        <v>0</v>
      </c>
      <c r="M97" s="719">
        <v>0</v>
      </c>
    </row>
    <row r="98" spans="1:13" ht="30">
      <c r="A98" s="467">
        <v>82</v>
      </c>
      <c r="B98" s="265" t="s">
        <v>1324</v>
      </c>
      <c r="C98" s="265">
        <v>10</v>
      </c>
      <c r="D98" s="721" t="s">
        <v>1211</v>
      </c>
      <c r="E98" s="700" t="s">
        <v>1212</v>
      </c>
      <c r="F98" s="700" t="s">
        <v>1222</v>
      </c>
      <c r="G98" s="700" t="s">
        <v>1223</v>
      </c>
      <c r="H98" s="700" t="s">
        <v>1213</v>
      </c>
      <c r="I98" s="700"/>
      <c r="J98" s="700" t="s">
        <v>1213</v>
      </c>
      <c r="K98" s="718">
        <v>0</v>
      </c>
      <c r="L98" s="718">
        <v>0</v>
      </c>
      <c r="M98" s="719">
        <v>0</v>
      </c>
    </row>
    <row r="99" spans="1:13" ht="25.5">
      <c r="A99" s="467">
        <v>83</v>
      </c>
      <c r="B99" s="727" t="s">
        <v>341</v>
      </c>
      <c r="C99" s="265">
        <v>10</v>
      </c>
      <c r="D99" s="721" t="s">
        <v>1211</v>
      </c>
      <c r="E99" s="700" t="s">
        <v>1212</v>
      </c>
      <c r="F99" s="700" t="s">
        <v>1232</v>
      </c>
      <c r="G99" s="717" t="s">
        <v>1233</v>
      </c>
      <c r="H99" s="700" t="s">
        <v>1213</v>
      </c>
      <c r="I99" s="700"/>
      <c r="J99" s="700" t="s">
        <v>1213</v>
      </c>
      <c r="K99" s="718">
        <v>0</v>
      </c>
      <c r="L99" s="718">
        <v>0</v>
      </c>
      <c r="M99" s="719">
        <v>0</v>
      </c>
    </row>
    <row r="100" spans="1:13" ht="14.25">
      <c r="A100" s="1196" t="s">
        <v>14</v>
      </c>
      <c r="B100" s="1197"/>
      <c r="C100" s="1197"/>
      <c r="D100" s="1197"/>
      <c r="E100" s="1197"/>
      <c r="F100" s="1197"/>
      <c r="G100" s="1198"/>
      <c r="H100" s="728" t="s">
        <v>1213</v>
      </c>
      <c r="I100" s="692"/>
      <c r="J100" s="728" t="s">
        <v>1213</v>
      </c>
      <c r="K100" s="692">
        <f>SUM(K7:K99)</f>
        <v>28</v>
      </c>
      <c r="L100" s="692">
        <f>SUM(L7:L99)</f>
        <v>0</v>
      </c>
      <c r="M100" s="692">
        <f>SUM(M7:M99)</f>
        <v>0</v>
      </c>
    </row>
    <row r="101" spans="1:13" ht="15">
      <c r="A101" s="121"/>
      <c r="B101" s="88"/>
      <c r="C101" s="88"/>
      <c r="D101" s="88"/>
      <c r="E101" s="88"/>
      <c r="F101" s="88"/>
      <c r="G101" s="88"/>
      <c r="H101" s="88"/>
      <c r="I101" s="88"/>
      <c r="J101" s="88"/>
      <c r="K101" s="88"/>
      <c r="L101" s="88"/>
      <c r="M101" s="88"/>
    </row>
    <row r="102" spans="1:13" ht="12.75" customHeight="1">
      <c r="A102" s="1195" t="s">
        <v>1395</v>
      </c>
      <c r="B102" s="1195"/>
      <c r="C102" s="1195"/>
      <c r="D102" s="1195"/>
      <c r="E102" s="1195"/>
      <c r="F102" s="1195"/>
      <c r="G102" s="1195"/>
      <c r="H102" s="1195"/>
      <c r="I102" s="1195"/>
      <c r="J102" s="1195"/>
      <c r="K102" s="1195"/>
      <c r="L102" s="1195"/>
      <c r="M102" s="1195"/>
    </row>
    <row r="103" spans="1:13" ht="14.25" customHeight="1">
      <c r="A103" s="1195" t="s">
        <v>1394</v>
      </c>
      <c r="B103" s="1195"/>
      <c r="C103" s="1195"/>
      <c r="D103" s="1195"/>
      <c r="E103" s="1195"/>
      <c r="F103" s="1195"/>
      <c r="G103" s="1195"/>
      <c r="H103" s="1195"/>
      <c r="I103" s="1195"/>
      <c r="J103" s="1195"/>
      <c r="K103" s="1195"/>
      <c r="L103" s="1195"/>
      <c r="M103" s="1195"/>
    </row>
    <row r="104" spans="1:13">
      <c r="B104" s="30"/>
      <c r="C104" s="30"/>
      <c r="D104" s="30"/>
      <c r="E104" s="30"/>
      <c r="F104" s="30"/>
      <c r="G104" s="30"/>
      <c r="H104" s="30"/>
      <c r="I104" s="30"/>
      <c r="J104" s="30"/>
      <c r="K104" s="30"/>
    </row>
    <row r="105" spans="1:13">
      <c r="B105" s="30"/>
      <c r="C105" s="30"/>
      <c r="D105" s="30"/>
      <c r="E105" s="30"/>
      <c r="F105" s="30"/>
      <c r="G105" s="30"/>
      <c r="H105" s="30"/>
      <c r="I105" s="30"/>
      <c r="J105" s="30"/>
      <c r="K105" s="30"/>
    </row>
    <row r="106" spans="1:13">
      <c r="B106" s="158"/>
      <c r="C106" s="30"/>
      <c r="D106" s="30"/>
      <c r="E106" s="30"/>
      <c r="F106" s="30"/>
      <c r="G106" s="30"/>
      <c r="H106" s="30"/>
      <c r="I106" s="30"/>
      <c r="J106" s="30"/>
      <c r="K106" s="30"/>
    </row>
    <row r="107" spans="1:13">
      <c r="B107" s="30"/>
      <c r="C107" s="30"/>
      <c r="D107" s="30"/>
      <c r="E107" s="30"/>
      <c r="F107" s="30"/>
      <c r="G107" s="30"/>
      <c r="H107" s="30"/>
      <c r="I107" s="30"/>
      <c r="J107" s="30"/>
      <c r="K107" s="30"/>
    </row>
    <row r="108" spans="1:13">
      <c r="B108" s="30"/>
      <c r="C108" s="30"/>
      <c r="D108" s="30"/>
      <c r="E108" s="30"/>
      <c r="F108" s="30"/>
      <c r="G108" s="30"/>
      <c r="H108" s="30"/>
      <c r="I108" s="30"/>
      <c r="J108" s="30"/>
      <c r="K108" s="30"/>
    </row>
    <row r="109" spans="1:13">
      <c r="B109" s="30"/>
      <c r="C109" s="30"/>
      <c r="D109" s="30"/>
      <c r="E109" s="30"/>
      <c r="F109" s="30"/>
      <c r="G109" s="30"/>
      <c r="H109" s="30"/>
      <c r="I109" s="30"/>
      <c r="J109" s="30"/>
      <c r="K109" s="30"/>
    </row>
    <row r="110" spans="1:13">
      <c r="B110" s="30"/>
      <c r="C110" s="30"/>
      <c r="D110" s="30"/>
      <c r="E110" s="30"/>
      <c r="F110" s="30"/>
      <c r="G110" s="30"/>
      <c r="H110" s="30"/>
      <c r="I110" s="30"/>
      <c r="J110" s="30"/>
      <c r="K110" s="30"/>
    </row>
    <row r="111" spans="1:13">
      <c r="B111" s="30"/>
      <c r="C111" s="30"/>
      <c r="D111" s="30"/>
      <c r="E111" s="30"/>
      <c r="F111" s="30"/>
      <c r="G111" s="30"/>
      <c r="H111" s="30"/>
      <c r="I111" s="30"/>
      <c r="J111" s="30"/>
      <c r="K111" s="30"/>
    </row>
    <row r="112" spans="1:13">
      <c r="B112" s="30"/>
      <c r="C112" s="30"/>
      <c r="D112" s="30"/>
      <c r="E112" s="30"/>
      <c r="F112" s="30"/>
      <c r="G112" s="30"/>
      <c r="H112" s="30"/>
      <c r="I112" s="30"/>
      <c r="J112" s="30"/>
      <c r="K112" s="30"/>
    </row>
    <row r="113" spans="2:11">
      <c r="B113" s="30"/>
      <c r="C113" s="30"/>
      <c r="D113" s="30"/>
      <c r="E113" s="30"/>
      <c r="F113" s="30"/>
      <c r="G113" s="30"/>
      <c r="H113" s="30"/>
      <c r="I113" s="30"/>
      <c r="J113" s="30"/>
      <c r="K113" s="30"/>
    </row>
    <row r="114" spans="2:11">
      <c r="B114" s="30"/>
      <c r="C114" s="30"/>
      <c r="D114" s="30"/>
      <c r="E114" s="30"/>
      <c r="F114" s="30"/>
      <c r="G114" s="30"/>
      <c r="H114" s="30"/>
      <c r="I114" s="30"/>
      <c r="J114" s="30"/>
      <c r="K114" s="30"/>
    </row>
    <row r="115" spans="2:11">
      <c r="B115" s="30"/>
      <c r="C115" s="30"/>
      <c r="D115" s="30"/>
      <c r="E115" s="30"/>
      <c r="F115" s="30"/>
      <c r="G115" s="30"/>
      <c r="H115" s="30"/>
      <c r="I115" s="30"/>
      <c r="J115" s="30"/>
      <c r="K115" s="30"/>
    </row>
    <row r="116" spans="2:11">
      <c r="B116" s="30"/>
      <c r="C116" s="30"/>
      <c r="D116" s="30"/>
      <c r="E116" s="30"/>
      <c r="F116" s="30"/>
      <c r="G116" s="30"/>
      <c r="H116" s="30"/>
      <c r="I116" s="30"/>
      <c r="J116" s="30"/>
      <c r="K116" s="30"/>
    </row>
    <row r="117" spans="2:11">
      <c r="B117" s="30"/>
      <c r="C117" s="30"/>
      <c r="D117" s="30"/>
      <c r="E117" s="30"/>
      <c r="F117" s="30"/>
      <c r="G117" s="30"/>
      <c r="H117" s="30"/>
      <c r="I117" s="30"/>
      <c r="J117" s="30"/>
      <c r="K117" s="30"/>
    </row>
    <row r="118" spans="2:11">
      <c r="B118" s="30"/>
      <c r="C118" s="30"/>
      <c r="D118" s="30"/>
      <c r="E118" s="30"/>
      <c r="F118" s="30"/>
      <c r="G118" s="30"/>
      <c r="H118" s="30"/>
      <c r="I118" s="30"/>
      <c r="J118" s="30"/>
      <c r="K118" s="30"/>
    </row>
    <row r="119" spans="2:11">
      <c r="B119" s="30"/>
      <c r="C119" s="30"/>
      <c r="D119" s="30"/>
      <c r="E119" s="30"/>
      <c r="F119" s="30"/>
      <c r="G119" s="30"/>
      <c r="H119" s="30"/>
      <c r="I119" s="30"/>
      <c r="J119" s="30"/>
      <c r="K119" s="30"/>
    </row>
    <row r="120" spans="2:11">
      <c r="B120" s="30"/>
      <c r="C120" s="30"/>
      <c r="D120" s="30"/>
      <c r="E120" s="30"/>
      <c r="F120" s="30"/>
      <c r="G120" s="30"/>
      <c r="H120" s="30"/>
      <c r="I120" s="30"/>
      <c r="J120" s="30"/>
      <c r="K120" s="30"/>
    </row>
    <row r="121" spans="2:11">
      <c r="B121" s="30"/>
      <c r="C121" s="30"/>
      <c r="D121" s="30"/>
      <c r="E121" s="30"/>
      <c r="F121" s="30"/>
      <c r="G121" s="30"/>
      <c r="H121" s="30"/>
      <c r="I121" s="30"/>
      <c r="J121" s="30"/>
      <c r="K121" s="30"/>
    </row>
    <row r="122" spans="2:11">
      <c r="B122" s="30"/>
      <c r="C122" s="30"/>
      <c r="D122" s="30"/>
      <c r="E122" s="30"/>
      <c r="F122" s="30"/>
      <c r="G122" s="30"/>
      <c r="H122" s="30"/>
      <c r="I122" s="30"/>
      <c r="J122" s="30"/>
      <c r="K122" s="30"/>
    </row>
    <row r="123" spans="2:11">
      <c r="B123" s="30"/>
      <c r="C123" s="30"/>
      <c r="D123" s="30"/>
      <c r="E123" s="30"/>
      <c r="F123" s="30"/>
      <c r="G123" s="30"/>
      <c r="H123" s="30"/>
      <c r="I123" s="30"/>
      <c r="J123" s="30"/>
      <c r="K123" s="30"/>
    </row>
    <row r="124" spans="2:11">
      <c r="B124" s="30"/>
      <c r="C124" s="30"/>
      <c r="D124" s="30"/>
      <c r="E124" s="30"/>
      <c r="F124" s="30"/>
      <c r="G124" s="30"/>
      <c r="H124" s="30"/>
      <c r="I124" s="30"/>
      <c r="J124" s="30"/>
      <c r="K124" s="30"/>
    </row>
    <row r="125" spans="2:11">
      <c r="B125" s="30"/>
      <c r="C125" s="30"/>
      <c r="D125" s="30"/>
      <c r="E125" s="30"/>
      <c r="F125" s="30"/>
      <c r="G125" s="30"/>
      <c r="H125" s="30"/>
      <c r="I125" s="30"/>
      <c r="J125" s="30"/>
      <c r="K125" s="30"/>
    </row>
    <row r="126" spans="2:11">
      <c r="B126" s="30"/>
      <c r="C126" s="30"/>
      <c r="D126" s="30"/>
      <c r="E126" s="30"/>
      <c r="F126" s="30"/>
      <c r="G126" s="30"/>
      <c r="H126" s="30"/>
      <c r="I126" s="30"/>
      <c r="J126" s="30"/>
      <c r="K126" s="30"/>
    </row>
    <row r="127" spans="2:11">
      <c r="B127" s="30"/>
      <c r="C127" s="30"/>
      <c r="D127" s="30"/>
      <c r="E127" s="30"/>
      <c r="F127" s="30"/>
      <c r="G127" s="30"/>
      <c r="H127" s="30"/>
      <c r="I127" s="30"/>
      <c r="J127" s="30"/>
      <c r="K127" s="30"/>
    </row>
    <row r="128" spans="2:11">
      <c r="B128" s="30"/>
      <c r="C128" s="30"/>
      <c r="D128" s="30"/>
      <c r="E128" s="30"/>
      <c r="F128" s="30"/>
      <c r="G128" s="30"/>
      <c r="H128" s="30"/>
      <c r="I128" s="30"/>
      <c r="J128" s="30"/>
      <c r="K128" s="30"/>
    </row>
    <row r="129" spans="2:11">
      <c r="B129" s="30"/>
      <c r="C129" s="30"/>
      <c r="D129" s="30"/>
      <c r="E129" s="30"/>
      <c r="F129" s="30"/>
      <c r="G129" s="30"/>
      <c r="H129" s="30"/>
      <c r="I129" s="30"/>
      <c r="J129" s="30"/>
      <c r="K129" s="30"/>
    </row>
    <row r="130" spans="2:11">
      <c r="B130" s="30"/>
      <c r="C130" s="30"/>
      <c r="D130" s="30"/>
      <c r="E130" s="30"/>
      <c r="F130" s="30"/>
      <c r="G130" s="30"/>
      <c r="H130" s="30"/>
      <c r="I130" s="30"/>
      <c r="J130" s="30"/>
      <c r="K130" s="30"/>
    </row>
    <row r="131" spans="2:11">
      <c r="B131" s="30"/>
      <c r="C131" s="30"/>
      <c r="D131" s="30"/>
      <c r="E131" s="30"/>
      <c r="F131" s="30"/>
      <c r="G131" s="30"/>
      <c r="H131" s="30"/>
      <c r="I131" s="30"/>
      <c r="J131" s="30"/>
      <c r="K131" s="30"/>
    </row>
    <row r="132" spans="2:11">
      <c r="B132" s="30"/>
      <c r="C132" s="30"/>
      <c r="D132" s="30"/>
      <c r="E132" s="30"/>
      <c r="F132" s="30"/>
      <c r="G132" s="30"/>
      <c r="H132" s="30"/>
      <c r="I132" s="30"/>
      <c r="J132" s="30"/>
      <c r="K132" s="30"/>
    </row>
    <row r="133" spans="2:11">
      <c r="B133" s="30"/>
      <c r="C133" s="30"/>
      <c r="D133" s="30"/>
      <c r="E133" s="30"/>
      <c r="F133" s="30"/>
      <c r="G133" s="30"/>
      <c r="H133" s="30"/>
      <c r="I133" s="30"/>
      <c r="J133" s="30"/>
      <c r="K133" s="30"/>
    </row>
    <row r="134" spans="2:11">
      <c r="B134" s="30"/>
      <c r="C134" s="30"/>
      <c r="D134" s="30"/>
      <c r="E134" s="30"/>
      <c r="F134" s="30"/>
      <c r="G134" s="30"/>
      <c r="H134" s="30"/>
      <c r="I134" s="30"/>
      <c r="J134" s="30"/>
      <c r="K134" s="30"/>
    </row>
  </sheetData>
  <sheetProtection insertRows="0" deleteRows="0"/>
  <mergeCells count="5">
    <mergeCell ref="A103:M103"/>
    <mergeCell ref="L2:M2"/>
    <mergeCell ref="A100:G100"/>
    <mergeCell ref="A4:M4"/>
    <mergeCell ref="A102:M102"/>
  </mergeCells>
  <phoneticPr fontId="2" type="noConversion"/>
  <pageMargins left="0.36" right="0.33" top="1" bottom="1" header="0.5" footer="0.5"/>
  <pageSetup paperSize="9" scale="78" orientation="landscape" r:id="rId1"/>
  <headerFooter alignWithMargins="0"/>
</worksheet>
</file>

<file path=xl/worksheets/sheet13.xml><?xml version="1.0" encoding="utf-8"?>
<worksheet xmlns="http://schemas.openxmlformats.org/spreadsheetml/2006/main" xmlns:r="http://schemas.openxmlformats.org/officeDocument/2006/relationships">
  <sheetPr codeName="Лист13">
    <tabColor rgb="FF00B0F0"/>
  </sheetPr>
  <dimension ref="A1:K36"/>
  <sheetViews>
    <sheetView view="pageBreakPreview" zoomScaleNormal="100" zoomScaleSheetLayoutView="100" workbookViewId="0">
      <selection activeCell="E2" sqref="E2"/>
    </sheetView>
  </sheetViews>
  <sheetFormatPr defaultRowHeight="12.75"/>
  <cols>
    <col min="1" max="1" width="4.42578125" style="27" customWidth="1"/>
    <col min="2" max="2" width="25.85546875" style="27" customWidth="1"/>
    <col min="3" max="3" width="19.7109375" style="27" customWidth="1"/>
    <col min="4" max="4" width="19.5703125" style="27" customWidth="1"/>
    <col min="5" max="6" width="24.28515625" style="27" customWidth="1"/>
    <col min="7" max="16384" width="9.140625" style="27"/>
  </cols>
  <sheetData>
    <row r="1" spans="1:11" s="94" customFormat="1" ht="18.75">
      <c r="A1" s="97"/>
      <c r="B1" s="97"/>
      <c r="C1" s="97"/>
      <c r="D1" s="152"/>
      <c r="E1" s="97"/>
      <c r="F1" s="97"/>
    </row>
    <row r="2" spans="1:11" s="94" customFormat="1" ht="15.75">
      <c r="A2" s="97"/>
      <c r="B2" s="97"/>
      <c r="C2" s="97"/>
      <c r="D2" s="97"/>
      <c r="E2" s="97"/>
      <c r="F2" s="170"/>
      <c r="H2" s="146"/>
      <c r="I2" s="146"/>
      <c r="J2" s="34"/>
      <c r="K2" s="32"/>
    </row>
    <row r="3" spans="1:11" s="94" customFormat="1" ht="15.75">
      <c r="A3" s="97"/>
      <c r="B3" s="97"/>
      <c r="C3" s="97"/>
      <c r="D3" s="97"/>
      <c r="E3" s="97"/>
      <c r="F3" s="97"/>
      <c r="G3" s="33"/>
      <c r="H3" s="35"/>
      <c r="I3" s="35"/>
      <c r="J3" s="35"/>
      <c r="K3" s="32"/>
    </row>
    <row r="4" spans="1:11" ht="39" customHeight="1">
      <c r="A4" s="971" t="s">
        <v>149</v>
      </c>
      <c r="B4" s="972"/>
      <c r="C4" s="972"/>
      <c r="D4" s="972"/>
      <c r="E4" s="972"/>
      <c r="F4" s="973"/>
    </row>
    <row r="5" spans="1:11" ht="96.75" customHeight="1">
      <c r="A5" s="1202" t="s">
        <v>60</v>
      </c>
      <c r="B5" s="1203"/>
      <c r="C5" s="38" t="s">
        <v>76</v>
      </c>
      <c r="D5" s="38" t="s">
        <v>77</v>
      </c>
      <c r="E5" s="38" t="s">
        <v>78</v>
      </c>
      <c r="F5" s="38" t="s">
        <v>331</v>
      </c>
    </row>
    <row r="6" spans="1:11" ht="15" customHeight="1">
      <c r="A6" s="993">
        <v>1</v>
      </c>
      <c r="B6" s="995"/>
      <c r="C6" s="239">
        <v>2</v>
      </c>
      <c r="D6" s="239">
        <v>3</v>
      </c>
      <c r="E6" s="239">
        <v>4</v>
      </c>
      <c r="F6" s="239">
        <v>5</v>
      </c>
    </row>
    <row r="7" spans="1:11" ht="29.25" customHeight="1">
      <c r="A7" s="1204" t="s">
        <v>193</v>
      </c>
      <c r="B7" s="1205"/>
      <c r="C7" s="1206">
        <f>C9+C10+C11+C12+C13+C14</f>
        <v>174</v>
      </c>
      <c r="D7" s="1206">
        <f>D9+D10+D11+D12+D13+D14</f>
        <v>0</v>
      </c>
      <c r="E7" s="1206">
        <f>E9+E10+E11+E12+E13+E14</f>
        <v>0</v>
      </c>
      <c r="F7" s="1206">
        <f>F9+F10+F11+F12+F13+F14</f>
        <v>0</v>
      </c>
    </row>
    <row r="8" spans="1:11" ht="12.75" customHeight="1">
      <c r="A8" s="1200" t="s">
        <v>1574</v>
      </c>
      <c r="B8" s="1201"/>
      <c r="C8" s="1207"/>
      <c r="D8" s="1207"/>
      <c r="E8" s="1207"/>
      <c r="F8" s="1207"/>
    </row>
    <row r="9" spans="1:11" ht="12.75" customHeight="1">
      <c r="A9" s="1200" t="s">
        <v>92</v>
      </c>
      <c r="B9" s="1201"/>
      <c r="C9" s="91"/>
      <c r="D9" s="91"/>
      <c r="E9" s="91"/>
      <c r="F9" s="91"/>
    </row>
    <row r="10" spans="1:11" ht="12.75" customHeight="1">
      <c r="A10" s="1200" t="s">
        <v>1569</v>
      </c>
      <c r="B10" s="1201"/>
      <c r="C10" s="91"/>
      <c r="D10" s="91"/>
      <c r="E10" s="91"/>
      <c r="F10" s="91"/>
    </row>
    <row r="11" spans="1:11" ht="12.75" customHeight="1">
      <c r="A11" s="1200" t="s">
        <v>1570</v>
      </c>
      <c r="B11" s="1208"/>
      <c r="C11" s="727">
        <v>6</v>
      </c>
      <c r="D11" s="731">
        <v>0</v>
      </c>
      <c r="E11" s="731">
        <v>0</v>
      </c>
      <c r="F11" s="731">
        <v>0</v>
      </c>
    </row>
    <row r="12" spans="1:11" ht="12.75" customHeight="1">
      <c r="A12" s="1200" t="s">
        <v>1571</v>
      </c>
      <c r="B12" s="1208"/>
      <c r="C12" s="727">
        <v>24</v>
      </c>
      <c r="D12" s="731">
        <v>0</v>
      </c>
      <c r="E12" s="731">
        <v>0</v>
      </c>
      <c r="F12" s="731">
        <v>0</v>
      </c>
    </row>
    <row r="13" spans="1:11" ht="12.75" customHeight="1">
      <c r="A13" s="1200" t="s">
        <v>1572</v>
      </c>
      <c r="B13" s="1208"/>
      <c r="C13" s="727">
        <v>132</v>
      </c>
      <c r="D13" s="731">
        <v>0</v>
      </c>
      <c r="E13" s="731">
        <v>0</v>
      </c>
      <c r="F13" s="731">
        <v>0</v>
      </c>
    </row>
    <row r="14" spans="1:11" ht="12.75" customHeight="1">
      <c r="A14" s="1200" t="s">
        <v>1573</v>
      </c>
      <c r="B14" s="1208"/>
      <c r="C14" s="727">
        <v>12</v>
      </c>
      <c r="D14" s="731">
        <v>0</v>
      </c>
      <c r="E14" s="731">
        <v>0</v>
      </c>
      <c r="F14" s="731">
        <v>0</v>
      </c>
    </row>
    <row r="15" spans="1:11" ht="27" customHeight="1">
      <c r="A15" s="1204" t="s">
        <v>194</v>
      </c>
      <c r="B15" s="1209"/>
      <c r="C15" s="1199">
        <f>C17+C18+C19+C20+C21+C22+C23</f>
        <v>17947</v>
      </c>
      <c r="D15" s="1199">
        <f>D17+D18+D19+D20+D21+D22+D23</f>
        <v>0</v>
      </c>
      <c r="E15" s="1199">
        <f>E17+E18+E19+E20+E21+E22+E23</f>
        <v>0</v>
      </c>
      <c r="F15" s="1199">
        <f>F17+F18+F19+F20+F21+F22+F23</f>
        <v>8</v>
      </c>
    </row>
    <row r="16" spans="1:11" ht="12.75" customHeight="1">
      <c r="A16" s="1200" t="s">
        <v>1574</v>
      </c>
      <c r="B16" s="1208"/>
      <c r="C16" s="1199"/>
      <c r="D16" s="1199"/>
      <c r="E16" s="1199"/>
      <c r="F16" s="1199"/>
    </row>
    <row r="17" spans="1:6" ht="12.75" customHeight="1">
      <c r="A17" s="1200" t="s">
        <v>92</v>
      </c>
      <c r="B17" s="1208"/>
      <c r="C17" s="41"/>
      <c r="D17" s="41"/>
      <c r="E17" s="41"/>
      <c r="F17" s="41"/>
    </row>
    <row r="18" spans="1:6" ht="12.75" customHeight="1">
      <c r="A18" s="1200" t="s">
        <v>1569</v>
      </c>
      <c r="B18" s="1208"/>
      <c r="C18" s="41"/>
      <c r="D18" s="41"/>
      <c r="E18" s="41"/>
      <c r="F18" s="41"/>
    </row>
    <row r="19" spans="1:6" ht="12.75" customHeight="1">
      <c r="A19" s="1200" t="s">
        <v>1570</v>
      </c>
      <c r="B19" s="1208"/>
      <c r="C19" s="727">
        <v>6</v>
      </c>
      <c r="D19" s="731">
        <v>0</v>
      </c>
      <c r="E19" s="731">
        <v>0</v>
      </c>
      <c r="F19" s="731">
        <v>0</v>
      </c>
    </row>
    <row r="20" spans="1:6" ht="12.75" customHeight="1">
      <c r="A20" s="1200" t="s">
        <v>1571</v>
      </c>
      <c r="B20" s="1208"/>
      <c r="C20" s="727">
        <v>20</v>
      </c>
      <c r="D20" s="731">
        <v>0</v>
      </c>
      <c r="E20" s="731">
        <v>0</v>
      </c>
      <c r="F20" s="731">
        <v>0</v>
      </c>
    </row>
    <row r="21" spans="1:6" ht="12.75" customHeight="1">
      <c r="A21" s="1200" t="s">
        <v>1572</v>
      </c>
      <c r="B21" s="1208"/>
      <c r="C21" s="727">
        <v>222</v>
      </c>
      <c r="D21" s="731">
        <v>0</v>
      </c>
      <c r="E21" s="731">
        <v>0</v>
      </c>
      <c r="F21" s="731">
        <v>8</v>
      </c>
    </row>
    <row r="22" spans="1:6" ht="12.75" customHeight="1">
      <c r="A22" s="1200" t="s">
        <v>1573</v>
      </c>
      <c r="B22" s="1208"/>
      <c r="C22" s="727">
        <v>28</v>
      </c>
      <c r="D22" s="731">
        <v>0</v>
      </c>
      <c r="E22" s="731">
        <v>0</v>
      </c>
      <c r="F22" s="731">
        <v>0</v>
      </c>
    </row>
    <row r="23" spans="1:6" ht="12.75" customHeight="1">
      <c r="A23" s="1200" t="s">
        <v>61</v>
      </c>
      <c r="B23" s="1208"/>
      <c r="C23" s="727">
        <v>17671</v>
      </c>
      <c r="D23" s="731">
        <v>0</v>
      </c>
      <c r="E23" s="731">
        <v>0</v>
      </c>
      <c r="F23" s="731">
        <v>0</v>
      </c>
    </row>
    <row r="24" spans="1:6" ht="12.75" customHeight="1">
      <c r="A24" s="178"/>
      <c r="B24" s="178"/>
      <c r="C24" s="178"/>
      <c r="D24" s="178"/>
      <c r="E24" s="178"/>
      <c r="F24" s="178"/>
    </row>
    <row r="25" spans="1:6">
      <c r="A25" s="178"/>
      <c r="B25" s="178"/>
      <c r="C25" s="178"/>
      <c r="D25" s="178"/>
      <c r="E25" s="178"/>
      <c r="F25" s="178"/>
    </row>
    <row r="26" spans="1:6">
      <c r="A26" s="178"/>
      <c r="B26" s="178"/>
      <c r="C26" s="178"/>
      <c r="D26" s="178"/>
      <c r="E26" s="178"/>
      <c r="F26" s="178"/>
    </row>
    <row r="27" spans="1:6">
      <c r="A27" s="28"/>
      <c r="B27" s="28"/>
      <c r="C27" s="28"/>
      <c r="D27" s="28"/>
      <c r="E27" s="28"/>
      <c r="F27" s="28"/>
    </row>
    <row r="28" spans="1:6">
      <c r="A28" s="28"/>
      <c r="B28" s="28"/>
      <c r="C28" s="28"/>
      <c r="D28" s="28"/>
      <c r="E28" s="28"/>
      <c r="F28" s="28"/>
    </row>
    <row r="29" spans="1:6">
      <c r="A29" s="28"/>
      <c r="B29" s="28"/>
      <c r="C29" s="28"/>
      <c r="D29" s="28"/>
      <c r="E29" s="28"/>
      <c r="F29" s="28"/>
    </row>
    <row r="30" spans="1:6">
      <c r="A30" s="28"/>
      <c r="B30" s="28"/>
      <c r="C30" s="28"/>
      <c r="D30" s="28"/>
      <c r="E30" s="28"/>
      <c r="F30" s="28"/>
    </row>
    <row r="31" spans="1:6">
      <c r="A31" s="28"/>
      <c r="B31" s="28"/>
      <c r="C31" s="28"/>
      <c r="D31" s="28"/>
      <c r="E31" s="28"/>
      <c r="F31" s="28"/>
    </row>
    <row r="32" spans="1:6">
      <c r="A32" s="28"/>
      <c r="B32" s="28"/>
      <c r="C32" s="28"/>
      <c r="D32" s="28"/>
      <c r="E32" s="28"/>
      <c r="F32" s="28"/>
    </row>
    <row r="33" spans="1:6">
      <c r="A33" s="28"/>
      <c r="B33" s="28"/>
      <c r="C33" s="28"/>
      <c r="D33" s="28"/>
      <c r="E33" s="28"/>
      <c r="F33" s="28"/>
    </row>
    <row r="34" spans="1:6">
      <c r="A34" s="28"/>
      <c r="B34" s="28"/>
      <c r="C34" s="28"/>
      <c r="D34" s="28"/>
      <c r="E34" s="28"/>
      <c r="F34" s="28"/>
    </row>
    <row r="35" spans="1:6">
      <c r="A35" s="28"/>
      <c r="B35" s="28"/>
      <c r="C35" s="28"/>
      <c r="D35" s="28"/>
      <c r="E35" s="28"/>
      <c r="F35" s="28"/>
    </row>
    <row r="36" spans="1:6">
      <c r="A36" s="28"/>
      <c r="B36" s="28"/>
      <c r="C36" s="28"/>
      <c r="D36" s="28"/>
      <c r="E36" s="28"/>
      <c r="F36" s="28"/>
    </row>
  </sheetData>
  <mergeCells count="28">
    <mergeCell ref="A23:B23"/>
    <mergeCell ref="A11:B11"/>
    <mergeCell ref="A12:B12"/>
    <mergeCell ref="A13:B13"/>
    <mergeCell ref="A14:B14"/>
    <mergeCell ref="A16:B16"/>
    <mergeCell ref="A15:B15"/>
    <mergeCell ref="A17:B17"/>
    <mergeCell ref="A18:B18"/>
    <mergeCell ref="A19:B19"/>
    <mergeCell ref="A21:B21"/>
    <mergeCell ref="A22:B22"/>
    <mergeCell ref="A20:B20"/>
    <mergeCell ref="A4:F4"/>
    <mergeCell ref="A5:B5"/>
    <mergeCell ref="A6:B6"/>
    <mergeCell ref="A7:B7"/>
    <mergeCell ref="C7:C8"/>
    <mergeCell ref="E7:E8"/>
    <mergeCell ref="D7:D8"/>
    <mergeCell ref="F7:F8"/>
    <mergeCell ref="A8:B8"/>
    <mergeCell ref="F15:F16"/>
    <mergeCell ref="D15:D16"/>
    <mergeCell ref="E15:E16"/>
    <mergeCell ref="C15:C16"/>
    <mergeCell ref="A9:B9"/>
    <mergeCell ref="A10:B10"/>
  </mergeCells>
  <phoneticPr fontId="2" type="noConversion"/>
  <pageMargins left="1.31" right="0.75" top="0.67" bottom="1" header="0.5" footer="0.5"/>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sheetPr codeName="Лист14">
    <tabColor rgb="FF00B0F0"/>
  </sheetPr>
  <dimension ref="A1:M30"/>
  <sheetViews>
    <sheetView view="pageBreakPreview" zoomScale="115" zoomScaleNormal="100" zoomScaleSheetLayoutView="115" workbookViewId="0">
      <pane ySplit="6" topLeftCell="A7" activePane="bottomLeft" state="frozen"/>
      <selection activeCell="I37" sqref="I37"/>
      <selection pane="bottomLeft" activeCell="E17" sqref="E17"/>
    </sheetView>
  </sheetViews>
  <sheetFormatPr defaultRowHeight="12.75"/>
  <cols>
    <col min="1" max="1" width="5.28515625" style="25" customWidth="1"/>
    <col min="2" max="2" width="16.85546875" style="15" customWidth="1"/>
    <col min="3" max="3" width="12.85546875" style="15" customWidth="1"/>
    <col min="4" max="4" width="12.7109375" style="25" customWidth="1"/>
    <col min="5" max="6" width="15.28515625" style="15" customWidth="1"/>
    <col min="7" max="7" width="26.140625" style="15" customWidth="1"/>
    <col min="8" max="8" width="22.7109375" style="15" customWidth="1"/>
    <col min="9" max="16384" width="9.140625" style="15"/>
  </cols>
  <sheetData>
    <row r="1" spans="1:11" s="94" customFormat="1" ht="18.75">
      <c r="A1" s="97"/>
      <c r="B1" s="97"/>
      <c r="C1" s="97"/>
      <c r="D1" s="97"/>
      <c r="F1" s="173"/>
      <c r="G1" s="97"/>
      <c r="H1" s="97"/>
    </row>
    <row r="2" spans="1:11" s="94" customFormat="1" ht="15.75">
      <c r="A2" s="97"/>
      <c r="B2" s="97"/>
      <c r="C2" s="97"/>
      <c r="D2" s="97"/>
      <c r="E2" s="97"/>
      <c r="F2" s="97"/>
      <c r="G2" s="959"/>
      <c r="H2" s="959"/>
      <c r="I2" s="146"/>
      <c r="J2" s="34"/>
      <c r="K2" s="32"/>
    </row>
    <row r="3" spans="1:11" s="94" customFormat="1" ht="15.75">
      <c r="A3" s="97"/>
      <c r="B3" s="97"/>
      <c r="C3" s="97"/>
      <c r="D3" s="97"/>
      <c r="E3" s="97"/>
      <c r="F3" s="97"/>
      <c r="G3" s="33"/>
      <c r="H3" s="35"/>
      <c r="I3" s="35"/>
      <c r="J3" s="35"/>
      <c r="K3" s="32"/>
    </row>
    <row r="4" spans="1:11" ht="25.5" customHeight="1">
      <c r="A4" s="985" t="s">
        <v>1221</v>
      </c>
      <c r="B4" s="986"/>
      <c r="C4" s="986"/>
      <c r="D4" s="986"/>
      <c r="E4" s="986"/>
      <c r="F4" s="986"/>
      <c r="G4" s="986"/>
      <c r="H4" s="986"/>
    </row>
    <row r="5" spans="1:11" ht="62.25" customHeight="1">
      <c r="A5" s="87" t="s">
        <v>1531</v>
      </c>
      <c r="B5" s="37" t="s">
        <v>1585</v>
      </c>
      <c r="C5" s="37" t="s">
        <v>122</v>
      </c>
      <c r="D5" s="87" t="s">
        <v>125</v>
      </c>
      <c r="E5" s="37" t="s">
        <v>1582</v>
      </c>
      <c r="F5" s="37" t="s">
        <v>1583</v>
      </c>
      <c r="G5" s="37" t="s">
        <v>1396</v>
      </c>
      <c r="H5" s="37" t="s">
        <v>1584</v>
      </c>
    </row>
    <row r="6" spans="1:11" ht="15">
      <c r="A6" s="243">
        <v>1</v>
      </c>
      <c r="B6" s="239">
        <v>2</v>
      </c>
      <c r="C6" s="239">
        <v>3</v>
      </c>
      <c r="D6" s="243">
        <v>4</v>
      </c>
      <c r="E6" s="239">
        <v>5</v>
      </c>
      <c r="F6" s="239">
        <v>6</v>
      </c>
      <c r="G6" s="239">
        <v>7</v>
      </c>
      <c r="H6" s="239">
        <v>8</v>
      </c>
    </row>
    <row r="7" spans="1:11" s="17" customFormat="1" ht="15">
      <c r="A7" s="465">
        <v>1</v>
      </c>
      <c r="B7" s="732" t="s">
        <v>1210</v>
      </c>
      <c r="C7" s="732">
        <v>110</v>
      </c>
      <c r="D7" s="732">
        <v>21</v>
      </c>
      <c r="E7" s="733" t="s">
        <v>1211</v>
      </c>
      <c r="F7" s="732" t="s">
        <v>1212</v>
      </c>
      <c r="G7" s="732" t="s">
        <v>1213</v>
      </c>
      <c r="H7" s="466"/>
    </row>
    <row r="8" spans="1:11" s="17" customFormat="1" ht="15">
      <c r="A8" s="465">
        <v>2</v>
      </c>
      <c r="B8" s="732"/>
      <c r="C8" s="732">
        <v>35</v>
      </c>
      <c r="D8" s="732">
        <v>23</v>
      </c>
      <c r="E8" s="733" t="s">
        <v>1211</v>
      </c>
      <c r="F8" s="732" t="s">
        <v>1212</v>
      </c>
      <c r="G8" s="732" t="s">
        <v>1213</v>
      </c>
      <c r="H8" s="466"/>
    </row>
    <row r="9" spans="1:11" s="17" customFormat="1" ht="15">
      <c r="A9" s="465">
        <v>3</v>
      </c>
      <c r="B9" s="732"/>
      <c r="C9" s="734" t="s">
        <v>1214</v>
      </c>
      <c r="D9" s="732">
        <v>377</v>
      </c>
      <c r="E9" s="733" t="s">
        <v>1211</v>
      </c>
      <c r="F9" s="732" t="s">
        <v>1212</v>
      </c>
      <c r="G9" s="732" t="s">
        <v>1213</v>
      </c>
      <c r="H9" s="466"/>
    </row>
    <row r="10" spans="1:11" s="17" customFormat="1" ht="15">
      <c r="A10" s="465">
        <v>4</v>
      </c>
      <c r="B10" s="734"/>
      <c r="C10" s="734" t="s">
        <v>1215</v>
      </c>
      <c r="D10" s="735">
        <v>42</v>
      </c>
      <c r="E10" s="733" t="s">
        <v>1211</v>
      </c>
      <c r="F10" s="732" t="s">
        <v>1212</v>
      </c>
      <c r="G10" s="732" t="s">
        <v>1213</v>
      </c>
      <c r="H10" s="466"/>
    </row>
    <row r="11" spans="1:11" s="17" customFormat="1" ht="15">
      <c r="A11" s="465">
        <v>5</v>
      </c>
      <c r="B11" s="732" t="s">
        <v>1216</v>
      </c>
      <c r="C11" s="732">
        <v>35</v>
      </c>
      <c r="D11" s="732">
        <v>16</v>
      </c>
      <c r="E11" s="733" t="s">
        <v>1211</v>
      </c>
      <c r="F11" s="732" t="s">
        <v>1212</v>
      </c>
      <c r="G11" s="732" t="s">
        <v>1213</v>
      </c>
      <c r="H11" s="466"/>
    </row>
    <row r="12" spans="1:11" s="17" customFormat="1" ht="15">
      <c r="A12" s="465">
        <v>6</v>
      </c>
      <c r="B12" s="732"/>
      <c r="C12" s="732" t="s">
        <v>1217</v>
      </c>
      <c r="D12" s="732">
        <v>574</v>
      </c>
      <c r="E12" s="733" t="s">
        <v>1211</v>
      </c>
      <c r="F12" s="732" t="s">
        <v>1212</v>
      </c>
      <c r="G12" s="732" t="s">
        <v>1213</v>
      </c>
      <c r="H12" s="466"/>
    </row>
    <row r="13" spans="1:11" s="17" customFormat="1" ht="15">
      <c r="A13" s="465">
        <v>7</v>
      </c>
      <c r="B13" s="734"/>
      <c r="C13" s="734" t="s">
        <v>1215</v>
      </c>
      <c r="D13" s="735">
        <v>102</v>
      </c>
      <c r="E13" s="733" t="s">
        <v>1211</v>
      </c>
      <c r="F13" s="732" t="s">
        <v>1212</v>
      </c>
      <c r="G13" s="732" t="s">
        <v>1213</v>
      </c>
      <c r="H13" s="466"/>
    </row>
    <row r="14" spans="1:11" ht="15">
      <c r="A14" s="465">
        <v>8</v>
      </c>
      <c r="B14" s="732" t="s">
        <v>1218</v>
      </c>
      <c r="C14" s="732">
        <v>10</v>
      </c>
      <c r="D14" s="732">
        <v>33</v>
      </c>
      <c r="E14" s="733" t="s">
        <v>1211</v>
      </c>
      <c r="F14" s="732">
        <v>1</v>
      </c>
      <c r="G14" s="732" t="s">
        <v>1213</v>
      </c>
      <c r="H14" s="466"/>
    </row>
    <row r="15" spans="1:11" ht="15">
      <c r="A15" s="465">
        <v>9</v>
      </c>
      <c r="B15" s="732" t="s">
        <v>1219</v>
      </c>
      <c r="C15" s="732">
        <v>0.4</v>
      </c>
      <c r="D15" s="732">
        <v>17</v>
      </c>
      <c r="E15" s="733" t="s">
        <v>1220</v>
      </c>
      <c r="F15" s="732">
        <v>2</v>
      </c>
      <c r="G15" s="732" t="s">
        <v>1213</v>
      </c>
      <c r="H15" s="466"/>
    </row>
    <row r="16" spans="1:11" ht="14.25">
      <c r="A16" s="1210" t="s">
        <v>14</v>
      </c>
      <c r="B16" s="1210"/>
      <c r="C16" s="1210"/>
      <c r="D16" s="1210"/>
      <c r="E16" s="1210"/>
      <c r="F16" s="1210"/>
      <c r="G16" s="258"/>
      <c r="H16" s="258"/>
    </row>
    <row r="17" spans="1:13">
      <c r="A17" s="181"/>
      <c r="B17" s="178"/>
      <c r="C17" s="178"/>
      <c r="D17" s="181"/>
      <c r="E17" s="178"/>
      <c r="F17" s="178"/>
      <c r="G17" s="178"/>
      <c r="H17" s="178"/>
    </row>
    <row r="18" spans="1:13" s="29" customFormat="1" ht="14.25" customHeight="1">
      <c r="A18" s="169" t="s">
        <v>1397</v>
      </c>
      <c r="B18" s="182"/>
      <c r="C18" s="182"/>
      <c r="D18" s="182"/>
      <c r="E18" s="182"/>
      <c r="F18" s="182"/>
      <c r="G18" s="182"/>
      <c r="H18" s="182"/>
      <c r="I18" s="157"/>
      <c r="J18" s="157"/>
      <c r="K18" s="157"/>
      <c r="L18" s="157"/>
      <c r="M18" s="157"/>
    </row>
    <row r="19" spans="1:13">
      <c r="A19" s="24"/>
      <c r="B19" s="16"/>
      <c r="C19" s="16"/>
      <c r="D19" s="24"/>
      <c r="E19" s="16"/>
      <c r="F19" s="16"/>
      <c r="G19" s="16"/>
      <c r="H19" s="16"/>
    </row>
    <row r="20" spans="1:13">
      <c r="A20" s="24"/>
      <c r="B20" s="16"/>
      <c r="C20" s="16"/>
      <c r="D20" s="24"/>
      <c r="E20" s="16"/>
      <c r="F20" s="16"/>
      <c r="G20" s="16"/>
      <c r="H20" s="16"/>
    </row>
    <row r="21" spans="1:13">
      <c r="A21" s="24"/>
      <c r="B21" s="16"/>
      <c r="C21" s="16"/>
      <c r="D21" s="24"/>
      <c r="E21" s="16"/>
      <c r="F21" s="16"/>
      <c r="G21" s="16"/>
      <c r="H21" s="16"/>
    </row>
    <row r="22" spans="1:13">
      <c r="A22" s="24"/>
      <c r="B22" s="16"/>
      <c r="C22" s="16"/>
      <c r="D22" s="24"/>
      <c r="E22" s="16"/>
      <c r="F22" s="16"/>
      <c r="G22" s="16"/>
      <c r="H22" s="16"/>
    </row>
    <row r="23" spans="1:13">
      <c r="A23" s="24"/>
      <c r="B23" s="16"/>
      <c r="C23" s="16"/>
      <c r="D23" s="24"/>
      <c r="E23" s="16"/>
      <c r="F23" s="16"/>
      <c r="G23" s="16"/>
      <c r="H23" s="16"/>
    </row>
    <row r="24" spans="1:13">
      <c r="A24" s="24"/>
      <c r="B24" s="16"/>
      <c r="C24" s="16"/>
      <c r="D24" s="24"/>
      <c r="E24" s="16"/>
      <c r="F24" s="16"/>
      <c r="G24" s="16"/>
      <c r="H24" s="16"/>
    </row>
    <row r="25" spans="1:13">
      <c r="A25" s="24"/>
      <c r="B25" s="16"/>
      <c r="C25" s="16"/>
      <c r="D25" s="24"/>
      <c r="E25" s="16"/>
      <c r="F25" s="16"/>
      <c r="G25" s="16"/>
      <c r="H25" s="16"/>
    </row>
    <row r="26" spans="1:13">
      <c r="A26" s="24"/>
      <c r="B26" s="16"/>
      <c r="C26" s="16"/>
      <c r="D26" s="24"/>
      <c r="E26" s="16"/>
      <c r="F26" s="16"/>
      <c r="G26" s="16"/>
      <c r="H26" s="16"/>
    </row>
    <row r="27" spans="1:13">
      <c r="A27" s="24"/>
      <c r="B27" s="16"/>
      <c r="C27" s="16"/>
      <c r="D27" s="24"/>
      <c r="E27" s="16"/>
      <c r="F27" s="16"/>
      <c r="G27" s="16"/>
      <c r="H27" s="16"/>
    </row>
    <row r="28" spans="1:13">
      <c r="A28" s="24"/>
      <c r="B28" s="16"/>
      <c r="C28" s="16"/>
      <c r="D28" s="24"/>
      <c r="E28" s="16"/>
      <c r="F28" s="16"/>
      <c r="G28" s="16"/>
      <c r="H28" s="16"/>
    </row>
    <row r="29" spans="1:13">
      <c r="A29" s="24"/>
      <c r="B29" s="16"/>
      <c r="C29" s="16"/>
      <c r="D29" s="24"/>
      <c r="E29" s="16"/>
      <c r="F29" s="16"/>
      <c r="G29" s="16"/>
      <c r="H29" s="16"/>
    </row>
    <row r="30" spans="1:13">
      <c r="A30" s="24"/>
      <c r="B30" s="16"/>
      <c r="C30" s="16"/>
      <c r="D30" s="24"/>
      <c r="E30" s="16"/>
      <c r="F30" s="16"/>
      <c r="G30" s="16"/>
      <c r="H30" s="16"/>
    </row>
  </sheetData>
  <sheetProtection insertRows="0" deleteRows="0"/>
  <mergeCells count="3">
    <mergeCell ref="A4:H4"/>
    <mergeCell ref="A16:F16"/>
    <mergeCell ref="G2:H2"/>
  </mergeCells>
  <phoneticPr fontId="2" type="noConversion"/>
  <pageMargins left="0.98" right="0.75" top="1" bottom="1" header="0.5" footer="0.5"/>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sheetPr codeName="Лист15">
    <tabColor rgb="FF00B0F0"/>
  </sheetPr>
  <dimension ref="A1:K13"/>
  <sheetViews>
    <sheetView view="pageBreakPreview" zoomScale="130" zoomScaleNormal="100" zoomScaleSheetLayoutView="130" workbookViewId="0">
      <selection activeCell="I7" sqref="I7"/>
    </sheetView>
  </sheetViews>
  <sheetFormatPr defaultRowHeight="12.75"/>
  <cols>
    <col min="1" max="1" width="12.28515625" style="22" customWidth="1"/>
    <col min="2" max="2" width="46.42578125" style="22" customWidth="1"/>
    <col min="3" max="3" width="16.85546875" style="22" customWidth="1"/>
    <col min="4" max="4" width="9.85546875" style="22" customWidth="1"/>
    <col min="5" max="16384" width="9.140625" style="22"/>
  </cols>
  <sheetData>
    <row r="1" spans="1:11" s="94" customFormat="1" ht="35.25" customHeight="1">
      <c r="A1" s="97"/>
      <c r="B1" s="183"/>
      <c r="C1" s="97"/>
      <c r="D1" s="97"/>
    </row>
    <row r="2" spans="1:11" s="94" customFormat="1" ht="15.75">
      <c r="A2" s="97"/>
      <c r="B2" s="97"/>
      <c r="C2" s="959"/>
      <c r="D2" s="959"/>
      <c r="H2" s="146"/>
      <c r="I2" s="146"/>
      <c r="J2" s="34"/>
      <c r="K2" s="32"/>
    </row>
    <row r="3" spans="1:11" s="94" customFormat="1" ht="15.75">
      <c r="A3" s="97"/>
      <c r="B3" s="97"/>
      <c r="C3" s="97"/>
      <c r="D3" s="97"/>
      <c r="G3" s="33"/>
      <c r="H3" s="35"/>
      <c r="I3" s="35"/>
      <c r="J3" s="35"/>
      <c r="K3" s="32"/>
    </row>
    <row r="4" spans="1:11" s="18" customFormat="1" ht="27.75" customHeight="1">
      <c r="A4" s="985" t="s">
        <v>325</v>
      </c>
      <c r="B4" s="985"/>
      <c r="C4" s="985"/>
      <c r="D4" s="985"/>
    </row>
    <row r="5" spans="1:11" s="18" customFormat="1" ht="34.5" customHeight="1">
      <c r="A5" s="1212" t="s">
        <v>163</v>
      </c>
      <c r="B5" s="1212"/>
      <c r="C5" s="736" t="s">
        <v>200</v>
      </c>
      <c r="D5" s="736" t="s">
        <v>1534</v>
      </c>
    </row>
    <row r="6" spans="1:11" ht="16.5" customHeight="1">
      <c r="A6" s="1213" t="s">
        <v>1205</v>
      </c>
      <c r="B6" s="1213"/>
      <c r="C6" s="463">
        <v>446</v>
      </c>
      <c r="D6" s="737">
        <f>C6/C11</f>
        <v>0.70125786163522008</v>
      </c>
    </row>
    <row r="7" spans="1:11" ht="16.5" customHeight="1">
      <c r="A7" s="1213" t="s">
        <v>1206</v>
      </c>
      <c r="B7" s="1213"/>
      <c r="C7" s="463">
        <v>100</v>
      </c>
      <c r="D7" s="737">
        <f>C7/C11</f>
        <v>0.15723270440251572</v>
      </c>
    </row>
    <row r="8" spans="1:11" ht="16.5" customHeight="1">
      <c r="A8" s="1213" t="s">
        <v>1207</v>
      </c>
      <c r="B8" s="1213"/>
      <c r="C8" s="463">
        <v>0</v>
      </c>
      <c r="D8" s="737">
        <f>C8/C11</f>
        <v>0</v>
      </c>
    </row>
    <row r="9" spans="1:11" ht="16.5" customHeight="1">
      <c r="A9" s="1213" t="s">
        <v>1208</v>
      </c>
      <c r="B9" s="1213"/>
      <c r="C9" s="463">
        <v>51</v>
      </c>
      <c r="D9" s="737">
        <f>C9/C11</f>
        <v>8.0188679245283015E-2</v>
      </c>
    </row>
    <row r="10" spans="1:11" ht="16.5" customHeight="1">
      <c r="A10" s="1213" t="s">
        <v>1209</v>
      </c>
      <c r="B10" s="1213"/>
      <c r="C10" s="463">
        <v>39</v>
      </c>
      <c r="D10" s="737">
        <f>C10/C11</f>
        <v>6.1320754716981132E-2</v>
      </c>
    </row>
    <row r="11" spans="1:11" ht="16.5" customHeight="1">
      <c r="A11" s="1211" t="s">
        <v>14</v>
      </c>
      <c r="B11" s="1211"/>
      <c r="C11" s="464">
        <f>SUM(C6:C10)</f>
        <v>636</v>
      </c>
      <c r="D11" s="738">
        <f>SUM(D6:D10)</f>
        <v>1</v>
      </c>
    </row>
    <row r="12" spans="1:11" ht="14.25" customHeight="1">
      <c r="A12" s="164"/>
      <c r="B12" s="165"/>
      <c r="C12" s="111"/>
      <c r="D12" s="166"/>
    </row>
    <row r="13" spans="1:11" ht="15">
      <c r="A13" s="40"/>
      <c r="B13" s="184"/>
      <c r="C13" s="184"/>
      <c r="D13" s="184"/>
    </row>
  </sheetData>
  <mergeCells count="9">
    <mergeCell ref="C2:D2"/>
    <mergeCell ref="A11:B11"/>
    <mergeCell ref="A4:D4"/>
    <mergeCell ref="A5:B5"/>
    <mergeCell ref="A6:B6"/>
    <mergeCell ref="A7:B7"/>
    <mergeCell ref="A8:B8"/>
    <mergeCell ref="A9:B9"/>
    <mergeCell ref="A10:B10"/>
  </mergeCells>
  <phoneticPr fontId="2" type="noConversion"/>
  <pageMargins left="0.98" right="0.49" top="0.75"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sheetPr codeName="Лист16">
    <tabColor rgb="FF00B0F0"/>
  </sheetPr>
  <dimension ref="A1:G73"/>
  <sheetViews>
    <sheetView view="pageBreakPreview" topLeftCell="A4" zoomScaleNormal="100" zoomScaleSheetLayoutView="100" zoomScalePageLayoutView="85" workbookViewId="0">
      <selection activeCell="L45" sqref="L45"/>
    </sheetView>
  </sheetViews>
  <sheetFormatPr defaultRowHeight="12.75"/>
  <cols>
    <col min="1" max="1" width="4.7109375" style="18" customWidth="1"/>
    <col min="2" max="2" width="51.5703125" style="18" customWidth="1"/>
    <col min="3" max="3" width="8.42578125" style="18" customWidth="1"/>
    <col min="4" max="4" width="11.7109375" style="18" customWidth="1"/>
    <col min="5" max="5" width="12" style="18" customWidth="1"/>
    <col min="6" max="6" width="11.7109375" style="18" customWidth="1"/>
    <col min="7" max="7" width="20.7109375" style="18" customWidth="1"/>
    <col min="8" max="16384" width="9.140625" style="18"/>
  </cols>
  <sheetData>
    <row r="1" spans="1:7" ht="39" customHeight="1">
      <c r="A1" s="1217" t="s">
        <v>195</v>
      </c>
      <c r="B1" s="1217"/>
      <c r="C1" s="1217"/>
      <c r="D1" s="1217"/>
      <c r="E1" s="1217"/>
      <c r="F1" s="1217"/>
      <c r="G1" s="1217"/>
    </row>
    <row r="2" spans="1:7" ht="17.25" customHeight="1">
      <c r="A2" s="1221" t="s">
        <v>1531</v>
      </c>
      <c r="B2" s="1222" t="s">
        <v>1555</v>
      </c>
      <c r="C2" s="1221" t="s">
        <v>1550</v>
      </c>
      <c r="D2" s="1218" t="s">
        <v>73</v>
      </c>
      <c r="E2" s="1219"/>
      <c r="F2" s="1219"/>
      <c r="G2" s="1220"/>
    </row>
    <row r="3" spans="1:7" ht="45.75" customHeight="1">
      <c r="A3" s="1221"/>
      <c r="B3" s="1222"/>
      <c r="C3" s="1221"/>
      <c r="D3" s="456">
        <v>2011</v>
      </c>
      <c r="E3" s="456">
        <v>2012</v>
      </c>
      <c r="F3" s="456">
        <v>2013</v>
      </c>
      <c r="G3" s="457" t="s">
        <v>1203</v>
      </c>
    </row>
    <row r="4" spans="1:7" ht="13.5" customHeight="1">
      <c r="A4" s="236">
        <v>1</v>
      </c>
      <c r="B4" s="240" t="s">
        <v>1739</v>
      </c>
      <c r="C4" s="236">
        <v>3</v>
      </c>
      <c r="D4" s="241">
        <v>4</v>
      </c>
      <c r="E4" s="241">
        <v>5</v>
      </c>
      <c r="F4" s="241">
        <v>6</v>
      </c>
      <c r="G4" s="242">
        <v>7</v>
      </c>
    </row>
    <row r="5" spans="1:7" ht="15">
      <c r="A5" s="1214">
        <v>1</v>
      </c>
      <c r="B5" s="123" t="s">
        <v>1399</v>
      </c>
      <c r="C5" s="39" t="s">
        <v>1562</v>
      </c>
      <c r="D5" s="460">
        <v>448</v>
      </c>
      <c r="E5" s="460">
        <v>449</v>
      </c>
      <c r="F5" s="461">
        <v>460</v>
      </c>
      <c r="G5" s="460">
        <v>465</v>
      </c>
    </row>
    <row r="6" spans="1:7" ht="15">
      <c r="A6" s="1214"/>
      <c r="B6" s="1215" t="s">
        <v>1400</v>
      </c>
      <c r="C6" s="39" t="s">
        <v>1562</v>
      </c>
      <c r="D6" s="461">
        <v>270</v>
      </c>
      <c r="E6" s="461">
        <v>265</v>
      </c>
      <c r="F6" s="461">
        <v>264</v>
      </c>
      <c r="G6" s="461">
        <v>264</v>
      </c>
    </row>
    <row r="7" spans="1:7" ht="15">
      <c r="A7" s="1214"/>
      <c r="B7" s="1216"/>
      <c r="C7" s="39" t="s">
        <v>1534</v>
      </c>
      <c r="D7" s="458">
        <f>D6/D5</f>
        <v>0.6026785714285714</v>
      </c>
      <c r="E7" s="458">
        <f>E6/E5</f>
        <v>0.59020044543429839</v>
      </c>
      <c r="F7" s="458">
        <f>F6/F5</f>
        <v>0.57391304347826089</v>
      </c>
      <c r="G7" s="458">
        <f>G6/G5</f>
        <v>0.56774193548387097</v>
      </c>
    </row>
    <row r="8" spans="1:7" ht="15">
      <c r="A8" s="1214" t="s">
        <v>1693</v>
      </c>
      <c r="B8" s="123" t="s">
        <v>1757</v>
      </c>
      <c r="C8" s="39" t="s">
        <v>1562</v>
      </c>
      <c r="D8" s="461">
        <v>10</v>
      </c>
      <c r="E8" s="461">
        <v>10</v>
      </c>
      <c r="F8" s="462">
        <v>8</v>
      </c>
      <c r="G8" s="462">
        <v>8</v>
      </c>
    </row>
    <row r="9" spans="1:7" ht="15">
      <c r="A9" s="1214"/>
      <c r="B9" s="1215" t="s">
        <v>1560</v>
      </c>
      <c r="C9" s="39" t="s">
        <v>1562</v>
      </c>
      <c r="D9" s="461">
        <v>9</v>
      </c>
      <c r="E9" s="461">
        <v>9</v>
      </c>
      <c r="F9" s="462">
        <v>8</v>
      </c>
      <c r="G9" s="462">
        <v>8</v>
      </c>
    </row>
    <row r="10" spans="1:7" ht="15">
      <c r="A10" s="1214"/>
      <c r="B10" s="1216"/>
      <c r="C10" s="39" t="s">
        <v>1534</v>
      </c>
      <c r="D10" s="458">
        <f>D9/D8</f>
        <v>0.9</v>
      </c>
      <c r="E10" s="458">
        <f>E9/E8</f>
        <v>0.9</v>
      </c>
      <c r="F10" s="458">
        <f>F9/F8</f>
        <v>1</v>
      </c>
      <c r="G10" s="458">
        <f>G9/G8</f>
        <v>1</v>
      </c>
    </row>
    <row r="11" spans="1:7" ht="15">
      <c r="A11" s="1214" t="s">
        <v>1694</v>
      </c>
      <c r="B11" s="123" t="s">
        <v>1758</v>
      </c>
      <c r="C11" s="39" t="s">
        <v>1562</v>
      </c>
      <c r="D11" s="461">
        <v>7</v>
      </c>
      <c r="E11" s="461">
        <v>7</v>
      </c>
      <c r="F11" s="462">
        <v>7</v>
      </c>
      <c r="G11" s="462">
        <v>7</v>
      </c>
    </row>
    <row r="12" spans="1:7" ht="15">
      <c r="A12" s="1214"/>
      <c r="B12" s="1215" t="s">
        <v>1560</v>
      </c>
      <c r="C12" s="39" t="s">
        <v>1562</v>
      </c>
      <c r="D12" s="461">
        <v>5</v>
      </c>
      <c r="E12" s="461">
        <v>5</v>
      </c>
      <c r="F12" s="462">
        <v>5</v>
      </c>
      <c r="G12" s="462">
        <v>5</v>
      </c>
    </row>
    <row r="13" spans="1:7" ht="15">
      <c r="A13" s="1214"/>
      <c r="B13" s="1216"/>
      <c r="C13" s="39" t="s">
        <v>1534</v>
      </c>
      <c r="D13" s="458">
        <f>D12/D11</f>
        <v>0.7142857142857143</v>
      </c>
      <c r="E13" s="458">
        <f>E12/E11</f>
        <v>0.7142857142857143</v>
      </c>
      <c r="F13" s="458">
        <f>F12/F11</f>
        <v>0.7142857142857143</v>
      </c>
      <c r="G13" s="458">
        <f>G12/G11</f>
        <v>0.7142857142857143</v>
      </c>
    </row>
    <row r="14" spans="1:7" ht="15">
      <c r="A14" s="1214" t="s">
        <v>1759</v>
      </c>
      <c r="B14" s="123" t="s">
        <v>1401</v>
      </c>
      <c r="C14" s="39" t="s">
        <v>1562</v>
      </c>
      <c r="D14" s="461">
        <v>12</v>
      </c>
      <c r="E14" s="461">
        <v>12</v>
      </c>
      <c r="F14" s="462">
        <v>12</v>
      </c>
      <c r="G14" s="462">
        <v>14</v>
      </c>
    </row>
    <row r="15" spans="1:7" ht="15">
      <c r="A15" s="1214"/>
      <c r="B15" s="1215" t="s">
        <v>1560</v>
      </c>
      <c r="C15" s="39" t="s">
        <v>1562</v>
      </c>
      <c r="D15" s="461">
        <v>7</v>
      </c>
      <c r="E15" s="461">
        <v>6</v>
      </c>
      <c r="F15" s="462">
        <v>6</v>
      </c>
      <c r="G15" s="462">
        <v>4</v>
      </c>
    </row>
    <row r="16" spans="1:7" ht="15">
      <c r="A16" s="1214"/>
      <c r="B16" s="1216"/>
      <c r="C16" s="39" t="s">
        <v>1534</v>
      </c>
      <c r="D16" s="458">
        <f>D15/D14</f>
        <v>0.58333333333333337</v>
      </c>
      <c r="E16" s="458">
        <f>E15/E14</f>
        <v>0.5</v>
      </c>
      <c r="F16" s="458">
        <f>F15/F14</f>
        <v>0.5</v>
      </c>
      <c r="G16" s="458">
        <f>G15/G14</f>
        <v>0.2857142857142857</v>
      </c>
    </row>
    <row r="17" spans="1:7" ht="15">
      <c r="A17" s="1214" t="s">
        <v>1760</v>
      </c>
      <c r="B17" s="123" t="s">
        <v>1502</v>
      </c>
      <c r="C17" s="39" t="s">
        <v>1562</v>
      </c>
      <c r="D17" s="461">
        <v>36</v>
      </c>
      <c r="E17" s="461">
        <v>36</v>
      </c>
      <c r="F17" s="462">
        <v>36</v>
      </c>
      <c r="G17" s="462">
        <v>39</v>
      </c>
    </row>
    <row r="18" spans="1:7" ht="15">
      <c r="A18" s="1214"/>
      <c r="B18" s="1215" t="s">
        <v>1560</v>
      </c>
      <c r="C18" s="39" t="s">
        <v>1562</v>
      </c>
      <c r="D18" s="461">
        <v>21</v>
      </c>
      <c r="E18" s="461">
        <v>21</v>
      </c>
      <c r="F18" s="462">
        <v>21</v>
      </c>
      <c r="G18" s="462">
        <v>18</v>
      </c>
    </row>
    <row r="19" spans="1:7" ht="15">
      <c r="A19" s="1214"/>
      <c r="B19" s="1216"/>
      <c r="C19" s="39" t="s">
        <v>1534</v>
      </c>
      <c r="D19" s="458">
        <f>D18/D17</f>
        <v>0.58333333333333337</v>
      </c>
      <c r="E19" s="458">
        <f>E18/E17</f>
        <v>0.58333333333333337</v>
      </c>
      <c r="F19" s="458">
        <f>F18/F17</f>
        <v>0.58333333333333337</v>
      </c>
      <c r="G19" s="458">
        <f>G18/G17</f>
        <v>0.46153846153846156</v>
      </c>
    </row>
    <row r="20" spans="1:7" ht="15">
      <c r="A20" s="1214"/>
      <c r="B20" s="74" t="s">
        <v>31</v>
      </c>
      <c r="C20" s="39" t="s">
        <v>1562</v>
      </c>
      <c r="D20" s="461">
        <v>2</v>
      </c>
      <c r="E20" s="461">
        <v>2</v>
      </c>
      <c r="F20" s="462">
        <v>2</v>
      </c>
      <c r="G20" s="462">
        <v>2</v>
      </c>
    </row>
    <row r="21" spans="1:7" ht="15">
      <c r="A21" s="1214"/>
      <c r="B21" s="1215" t="s">
        <v>1560</v>
      </c>
      <c r="C21" s="39" t="s">
        <v>1562</v>
      </c>
      <c r="D21" s="461">
        <v>2</v>
      </c>
      <c r="E21" s="461">
        <v>2</v>
      </c>
      <c r="F21" s="462">
        <v>2</v>
      </c>
      <c r="G21" s="462">
        <v>2</v>
      </c>
    </row>
    <row r="22" spans="1:7" ht="15">
      <c r="A22" s="1214"/>
      <c r="B22" s="1216"/>
      <c r="C22" s="39" t="s">
        <v>1534</v>
      </c>
      <c r="D22" s="459">
        <f>D21/D20</f>
        <v>1</v>
      </c>
      <c r="E22" s="459">
        <f>E21/E20</f>
        <v>1</v>
      </c>
      <c r="F22" s="458">
        <f>F21/F20</f>
        <v>1</v>
      </c>
      <c r="G22" s="458">
        <f>G21/G20</f>
        <v>1</v>
      </c>
    </row>
    <row r="23" spans="1:7" ht="15">
      <c r="A23" s="1214" t="s">
        <v>1761</v>
      </c>
      <c r="B23" s="123" t="s">
        <v>1500</v>
      </c>
      <c r="C23" s="39" t="s">
        <v>1562</v>
      </c>
      <c r="D23" s="461">
        <v>0</v>
      </c>
      <c r="E23" s="461">
        <v>0</v>
      </c>
      <c r="F23" s="462">
        <v>0</v>
      </c>
      <c r="G23" s="462">
        <v>0</v>
      </c>
    </row>
    <row r="24" spans="1:7" ht="15">
      <c r="A24" s="1214"/>
      <c r="B24" s="1215" t="s">
        <v>1560</v>
      </c>
      <c r="C24" s="39" t="s">
        <v>1562</v>
      </c>
      <c r="D24" s="461">
        <v>0</v>
      </c>
      <c r="E24" s="461">
        <v>0</v>
      </c>
      <c r="F24" s="462">
        <v>0</v>
      </c>
      <c r="G24" s="462">
        <v>0</v>
      </c>
    </row>
    <row r="25" spans="1:7" ht="15">
      <c r="A25" s="1214"/>
      <c r="B25" s="1216"/>
      <c r="C25" s="39" t="s">
        <v>1534</v>
      </c>
      <c r="D25" s="458">
        <v>0</v>
      </c>
      <c r="E25" s="458">
        <v>0</v>
      </c>
      <c r="F25" s="458">
        <v>0</v>
      </c>
      <c r="G25" s="458">
        <v>0</v>
      </c>
    </row>
    <row r="26" spans="1:7" ht="15">
      <c r="A26" s="1214" t="s">
        <v>1762</v>
      </c>
      <c r="B26" s="123" t="s">
        <v>1525</v>
      </c>
      <c r="C26" s="39" t="s">
        <v>1562</v>
      </c>
      <c r="D26" s="461">
        <v>13</v>
      </c>
      <c r="E26" s="461">
        <v>14</v>
      </c>
      <c r="F26" s="462">
        <v>14</v>
      </c>
      <c r="G26" s="462">
        <v>14</v>
      </c>
    </row>
    <row r="27" spans="1:7" ht="15">
      <c r="A27" s="1214"/>
      <c r="B27" s="1215" t="s">
        <v>1560</v>
      </c>
      <c r="C27" s="39" t="s">
        <v>1562</v>
      </c>
      <c r="D27" s="461">
        <v>7</v>
      </c>
      <c r="E27" s="461">
        <v>6</v>
      </c>
      <c r="F27" s="462">
        <v>6</v>
      </c>
      <c r="G27" s="462">
        <v>6</v>
      </c>
    </row>
    <row r="28" spans="1:7" ht="15">
      <c r="A28" s="1214"/>
      <c r="B28" s="1216"/>
      <c r="C28" s="39" t="s">
        <v>1534</v>
      </c>
      <c r="D28" s="458">
        <f>D27/D26</f>
        <v>0.53846153846153844</v>
      </c>
      <c r="E28" s="458">
        <f>E27/E26</f>
        <v>0.42857142857142855</v>
      </c>
      <c r="F28" s="458">
        <f>F27/F26</f>
        <v>0.42857142857142855</v>
      </c>
      <c r="G28" s="458">
        <f>G27/G26</f>
        <v>0.42857142857142855</v>
      </c>
    </row>
    <row r="29" spans="1:7" ht="15" customHeight="1">
      <c r="A29" s="1214" t="s">
        <v>0</v>
      </c>
      <c r="B29" s="123" t="s">
        <v>1501</v>
      </c>
      <c r="C29" s="39" t="s">
        <v>1562</v>
      </c>
      <c r="D29" s="460">
        <v>213</v>
      </c>
      <c r="E29" s="460">
        <v>213</v>
      </c>
      <c r="F29" s="462">
        <v>213</v>
      </c>
      <c r="G29" s="460">
        <v>213</v>
      </c>
    </row>
    <row r="30" spans="1:7" ht="15">
      <c r="A30" s="1214"/>
      <c r="B30" s="1215" t="s">
        <v>1560</v>
      </c>
      <c r="C30" s="39" t="s">
        <v>1562</v>
      </c>
      <c r="D30" s="460">
        <v>120</v>
      </c>
      <c r="E30" s="460">
        <v>114</v>
      </c>
      <c r="F30" s="462">
        <v>114</v>
      </c>
      <c r="G30" s="462">
        <v>114</v>
      </c>
    </row>
    <row r="31" spans="1:7" ht="15">
      <c r="A31" s="1214"/>
      <c r="B31" s="1216"/>
      <c r="C31" s="39" t="s">
        <v>1534</v>
      </c>
      <c r="D31" s="458">
        <f>D30/D29</f>
        <v>0.56338028169014087</v>
      </c>
      <c r="E31" s="458">
        <f>E30/E29</f>
        <v>0.53521126760563376</v>
      </c>
      <c r="F31" s="458">
        <f>F30/F29</f>
        <v>0.53521126760563376</v>
      </c>
      <c r="G31" s="458">
        <f>G30/G29</f>
        <v>0.53521126760563376</v>
      </c>
    </row>
    <row r="32" spans="1:7" ht="15">
      <c r="A32" s="1214"/>
      <c r="B32" s="125" t="s">
        <v>196</v>
      </c>
      <c r="C32" s="39" t="s">
        <v>1562</v>
      </c>
      <c r="D32" s="460">
        <v>42</v>
      </c>
      <c r="E32" s="460">
        <v>42</v>
      </c>
      <c r="F32" s="462">
        <v>45</v>
      </c>
      <c r="G32" s="462">
        <v>45</v>
      </c>
    </row>
    <row r="33" spans="1:7" ht="15">
      <c r="A33" s="1214"/>
      <c r="B33" s="1215" t="s">
        <v>1560</v>
      </c>
      <c r="C33" s="39" t="s">
        <v>1562</v>
      </c>
      <c r="D33" s="460">
        <v>6</v>
      </c>
      <c r="E33" s="460">
        <v>5</v>
      </c>
      <c r="F33" s="462">
        <v>3</v>
      </c>
      <c r="G33" s="462">
        <v>3</v>
      </c>
    </row>
    <row r="34" spans="1:7" ht="15">
      <c r="A34" s="1214"/>
      <c r="B34" s="1216"/>
      <c r="C34" s="39" t="s">
        <v>1534</v>
      </c>
      <c r="D34" s="458">
        <f>D33/D32</f>
        <v>0.14285714285714285</v>
      </c>
      <c r="E34" s="458">
        <f>E33/E32</f>
        <v>0.11904761904761904</v>
      </c>
      <c r="F34" s="458">
        <f>F33/F32</f>
        <v>6.6666666666666666E-2</v>
      </c>
      <c r="G34" s="458">
        <f>G33/G32</f>
        <v>6.6666666666666666E-2</v>
      </c>
    </row>
    <row r="35" spans="1:7" ht="15">
      <c r="A35" s="1214" t="s">
        <v>1</v>
      </c>
      <c r="B35" s="123" t="s">
        <v>1526</v>
      </c>
      <c r="C35" s="39" t="s">
        <v>1562</v>
      </c>
      <c r="D35" s="460">
        <v>17</v>
      </c>
      <c r="E35" s="460">
        <v>17</v>
      </c>
      <c r="F35" s="462">
        <v>17</v>
      </c>
      <c r="G35" s="462">
        <v>17</v>
      </c>
    </row>
    <row r="36" spans="1:7" ht="15">
      <c r="A36" s="1214"/>
      <c r="B36" s="1215" t="s">
        <v>1560</v>
      </c>
      <c r="C36" s="39" t="s">
        <v>1562</v>
      </c>
      <c r="D36" s="460">
        <v>17</v>
      </c>
      <c r="E36" s="460">
        <v>17</v>
      </c>
      <c r="F36" s="462">
        <v>17</v>
      </c>
      <c r="G36" s="462">
        <v>17</v>
      </c>
    </row>
    <row r="37" spans="1:7" ht="15">
      <c r="A37" s="1214"/>
      <c r="B37" s="1216"/>
      <c r="C37" s="39" t="s">
        <v>1534</v>
      </c>
      <c r="D37" s="458">
        <f>D36/D35</f>
        <v>1</v>
      </c>
      <c r="E37" s="458">
        <f>E36/E35</f>
        <v>1</v>
      </c>
      <c r="F37" s="458">
        <f>F36/F35</f>
        <v>1</v>
      </c>
      <c r="G37" s="458">
        <f>G36/G35</f>
        <v>1</v>
      </c>
    </row>
    <row r="38" spans="1:7" ht="15">
      <c r="A38" s="1214" t="s">
        <v>2</v>
      </c>
      <c r="B38" s="123" t="s">
        <v>1398</v>
      </c>
      <c r="C38" s="39" t="s">
        <v>1562</v>
      </c>
      <c r="D38" s="460">
        <v>0</v>
      </c>
      <c r="E38" s="460">
        <v>0</v>
      </c>
      <c r="F38" s="462">
        <v>0</v>
      </c>
      <c r="G38" s="460">
        <v>0</v>
      </c>
    </row>
    <row r="39" spans="1:7" ht="15">
      <c r="A39" s="1214"/>
      <c r="B39" s="1215" t="s">
        <v>1560</v>
      </c>
      <c r="C39" s="39" t="s">
        <v>1562</v>
      </c>
      <c r="D39" s="460">
        <v>0</v>
      </c>
      <c r="E39" s="460">
        <v>0</v>
      </c>
      <c r="F39" s="462">
        <v>0</v>
      </c>
      <c r="G39" s="462">
        <v>0</v>
      </c>
    </row>
    <row r="40" spans="1:7" ht="15">
      <c r="A40" s="1214"/>
      <c r="B40" s="1216"/>
      <c r="C40" s="39" t="s">
        <v>1534</v>
      </c>
      <c r="D40" s="458">
        <v>0</v>
      </c>
      <c r="E40" s="458">
        <v>0</v>
      </c>
      <c r="F40" s="458">
        <v>0</v>
      </c>
      <c r="G40" s="458">
        <v>0</v>
      </c>
    </row>
    <row r="41" spans="1:7" ht="15">
      <c r="A41" s="1214" t="s">
        <v>3</v>
      </c>
      <c r="B41" s="123" t="s">
        <v>1402</v>
      </c>
      <c r="C41" s="39" t="s">
        <v>1562</v>
      </c>
      <c r="D41" s="460">
        <v>5</v>
      </c>
      <c r="E41" s="460">
        <v>5</v>
      </c>
      <c r="F41" s="462">
        <v>6</v>
      </c>
      <c r="G41" s="460">
        <v>6</v>
      </c>
    </row>
    <row r="42" spans="1:7" ht="15">
      <c r="A42" s="1214"/>
      <c r="B42" s="1215" t="s">
        <v>1560</v>
      </c>
      <c r="C42" s="39" t="s">
        <v>1562</v>
      </c>
      <c r="D42" s="460">
        <v>4</v>
      </c>
      <c r="E42" s="460">
        <v>2</v>
      </c>
      <c r="F42" s="462">
        <v>2</v>
      </c>
      <c r="G42" s="462">
        <v>4</v>
      </c>
    </row>
    <row r="43" spans="1:7" ht="15">
      <c r="A43" s="1214"/>
      <c r="B43" s="1216"/>
      <c r="C43" s="39" t="s">
        <v>1534</v>
      </c>
      <c r="D43" s="458">
        <f>D42/D41</f>
        <v>0.8</v>
      </c>
      <c r="E43" s="458">
        <f>E42/E41</f>
        <v>0.4</v>
      </c>
      <c r="F43" s="458">
        <f>F42/F41</f>
        <v>0.33333333333333331</v>
      </c>
      <c r="G43" s="458">
        <f>G42/G41</f>
        <v>0.66666666666666663</v>
      </c>
    </row>
    <row r="44" spans="1:7" ht="15">
      <c r="A44" s="1214" t="s">
        <v>4</v>
      </c>
      <c r="B44" s="123" t="s">
        <v>203</v>
      </c>
      <c r="C44" s="39" t="s">
        <v>1562</v>
      </c>
      <c r="D44" s="460">
        <v>12</v>
      </c>
      <c r="E44" s="460">
        <v>12</v>
      </c>
      <c r="F44" s="462">
        <v>12</v>
      </c>
      <c r="G44" s="462">
        <v>12</v>
      </c>
    </row>
    <row r="45" spans="1:7" ht="15">
      <c r="A45" s="1214"/>
      <c r="B45" s="1215" t="s">
        <v>1560</v>
      </c>
      <c r="C45" s="39" t="s">
        <v>1562</v>
      </c>
      <c r="D45" s="460">
        <v>12</v>
      </c>
      <c r="E45" s="460">
        <v>11</v>
      </c>
      <c r="F45" s="462">
        <v>11</v>
      </c>
      <c r="G45" s="462">
        <v>12</v>
      </c>
    </row>
    <row r="46" spans="1:7" ht="15">
      <c r="A46" s="1214"/>
      <c r="B46" s="1216"/>
      <c r="C46" s="39" t="s">
        <v>1534</v>
      </c>
      <c r="D46" s="458">
        <f>D45/D44</f>
        <v>1</v>
      </c>
      <c r="E46" s="458">
        <f>E45/E44</f>
        <v>0.91666666666666663</v>
      </c>
      <c r="F46" s="458">
        <f>F45/F44</f>
        <v>0.91666666666666663</v>
      </c>
      <c r="G46" s="458">
        <f>G45/G44</f>
        <v>1</v>
      </c>
    </row>
    <row r="47" spans="1:7" ht="15">
      <c r="A47" s="1214" t="s">
        <v>5</v>
      </c>
      <c r="B47" s="123" t="s">
        <v>1403</v>
      </c>
      <c r="C47" s="39" t="s">
        <v>1562</v>
      </c>
      <c r="D47" s="460">
        <v>75</v>
      </c>
      <c r="E47" s="460">
        <v>76</v>
      </c>
      <c r="F47" s="462">
        <v>88</v>
      </c>
      <c r="G47" s="462">
        <v>88</v>
      </c>
    </row>
    <row r="48" spans="1:7" ht="15">
      <c r="A48" s="1214"/>
      <c r="B48" s="1215" t="s">
        <v>1560</v>
      </c>
      <c r="C48" s="39" t="s">
        <v>1562</v>
      </c>
      <c r="D48" s="460">
        <v>37</v>
      </c>
      <c r="E48" s="460">
        <v>31</v>
      </c>
      <c r="F48" s="462">
        <v>31</v>
      </c>
      <c r="G48" s="462">
        <v>31</v>
      </c>
    </row>
    <row r="49" spans="1:7" ht="15">
      <c r="A49" s="1214"/>
      <c r="B49" s="1216"/>
      <c r="C49" s="39" t="s">
        <v>1534</v>
      </c>
      <c r="D49" s="458">
        <f>D48/D47</f>
        <v>0.49333333333333335</v>
      </c>
      <c r="E49" s="458">
        <f>E48/E47</f>
        <v>0.40789473684210525</v>
      </c>
      <c r="F49" s="458">
        <f>F48/F47</f>
        <v>0.35227272727272729</v>
      </c>
      <c r="G49" s="458">
        <f>G48/G47</f>
        <v>0.35227272727272729</v>
      </c>
    </row>
    <row r="50" spans="1:7" ht="15.75" customHeight="1">
      <c r="A50" s="1214" t="s">
        <v>6</v>
      </c>
      <c r="B50" s="123" t="s">
        <v>1404</v>
      </c>
      <c r="C50" s="39" t="s">
        <v>1562</v>
      </c>
      <c r="D50" s="460">
        <v>17</v>
      </c>
      <c r="E50" s="460">
        <v>17</v>
      </c>
      <c r="F50" s="462">
        <v>17</v>
      </c>
      <c r="G50" s="462">
        <v>17</v>
      </c>
    </row>
    <row r="51" spans="1:7" ht="15">
      <c r="A51" s="1214"/>
      <c r="B51" s="1215" t="s">
        <v>1560</v>
      </c>
      <c r="C51" s="39" t="s">
        <v>1562</v>
      </c>
      <c r="D51" s="460">
        <v>12</v>
      </c>
      <c r="E51" s="460">
        <v>13</v>
      </c>
      <c r="F51" s="462">
        <v>13</v>
      </c>
      <c r="G51" s="462">
        <v>16</v>
      </c>
    </row>
    <row r="52" spans="1:7" ht="15">
      <c r="A52" s="1214"/>
      <c r="B52" s="1216"/>
      <c r="C52" s="39" t="s">
        <v>1534</v>
      </c>
      <c r="D52" s="458">
        <f>D51/D50</f>
        <v>0.70588235294117652</v>
      </c>
      <c r="E52" s="458">
        <f>E51/E50</f>
        <v>0.76470588235294112</v>
      </c>
      <c r="F52" s="458">
        <f>F51/F50</f>
        <v>0.76470588235294112</v>
      </c>
      <c r="G52" s="458">
        <f>G51/G50</f>
        <v>0.94117647058823528</v>
      </c>
    </row>
    <row r="53" spans="1:7" ht="15">
      <c r="A53" s="1214" t="s">
        <v>7</v>
      </c>
      <c r="B53" s="123" t="s">
        <v>1527</v>
      </c>
      <c r="C53" s="39" t="s">
        <v>1562</v>
      </c>
      <c r="D53" s="460">
        <v>28</v>
      </c>
      <c r="E53" s="460">
        <v>27</v>
      </c>
      <c r="F53" s="460">
        <v>27</v>
      </c>
      <c r="G53" s="460">
        <v>27</v>
      </c>
    </row>
    <row r="54" spans="1:7" ht="15">
      <c r="A54" s="1214"/>
      <c r="B54" s="1215" t="s">
        <v>1560</v>
      </c>
      <c r="C54" s="39" t="s">
        <v>1562</v>
      </c>
      <c r="D54" s="460">
        <v>28</v>
      </c>
      <c r="E54" s="460">
        <v>27</v>
      </c>
      <c r="F54" s="460">
        <v>27</v>
      </c>
      <c r="G54" s="460">
        <v>27</v>
      </c>
    </row>
    <row r="55" spans="1:7" ht="15">
      <c r="A55" s="1214"/>
      <c r="B55" s="1216"/>
      <c r="C55" s="39" t="s">
        <v>1534</v>
      </c>
      <c r="D55" s="458">
        <f>D54/D53</f>
        <v>1</v>
      </c>
      <c r="E55" s="458">
        <f>E54/E53</f>
        <v>1</v>
      </c>
      <c r="F55" s="458">
        <f>F54/F53</f>
        <v>1</v>
      </c>
      <c r="G55" s="458">
        <f>G54/G53</f>
        <v>1</v>
      </c>
    </row>
    <row r="56" spans="1:7" ht="15">
      <c r="A56" s="1214" t="s">
        <v>8</v>
      </c>
      <c r="B56" s="123" t="s">
        <v>1528</v>
      </c>
      <c r="C56" s="39" t="s">
        <v>1562</v>
      </c>
      <c r="D56" s="460">
        <v>0</v>
      </c>
      <c r="E56" s="460">
        <v>0</v>
      </c>
      <c r="F56" s="462">
        <v>0</v>
      </c>
      <c r="G56" s="462">
        <v>0</v>
      </c>
    </row>
    <row r="57" spans="1:7" ht="15">
      <c r="A57" s="1214"/>
      <c r="B57" s="1215" t="s">
        <v>1560</v>
      </c>
      <c r="C57" s="39" t="s">
        <v>1562</v>
      </c>
      <c r="D57" s="460">
        <v>0</v>
      </c>
      <c r="E57" s="460">
        <v>0</v>
      </c>
      <c r="F57" s="462">
        <v>0</v>
      </c>
      <c r="G57" s="462">
        <v>0</v>
      </c>
    </row>
    <row r="58" spans="1:7" ht="15">
      <c r="A58" s="1214"/>
      <c r="B58" s="1216"/>
      <c r="C58" s="39" t="s">
        <v>1534</v>
      </c>
      <c r="D58" s="458">
        <v>0</v>
      </c>
      <c r="E58" s="458">
        <v>0</v>
      </c>
      <c r="F58" s="458">
        <v>0</v>
      </c>
      <c r="G58" s="458">
        <v>0</v>
      </c>
    </row>
    <row r="59" spans="1:7" ht="18.75" customHeight="1">
      <c r="A59" s="1214" t="s">
        <v>9</v>
      </c>
      <c r="B59" s="123" t="s">
        <v>1405</v>
      </c>
      <c r="C59" s="39" t="s">
        <v>1562</v>
      </c>
      <c r="D59" s="460">
        <v>0</v>
      </c>
      <c r="E59" s="460">
        <v>0</v>
      </c>
      <c r="F59" s="462">
        <v>0</v>
      </c>
      <c r="G59" s="462">
        <v>0</v>
      </c>
    </row>
    <row r="60" spans="1:7" ht="15">
      <c r="A60" s="1214"/>
      <c r="B60" s="1215" t="s">
        <v>1560</v>
      </c>
      <c r="C60" s="39" t="s">
        <v>1562</v>
      </c>
      <c r="D60" s="460">
        <v>0</v>
      </c>
      <c r="E60" s="460">
        <v>0</v>
      </c>
      <c r="F60" s="462">
        <v>0</v>
      </c>
      <c r="G60" s="462">
        <v>0</v>
      </c>
    </row>
    <row r="61" spans="1:7" ht="15">
      <c r="A61" s="1214"/>
      <c r="B61" s="1216"/>
      <c r="C61" s="39" t="s">
        <v>1534</v>
      </c>
      <c r="D61" s="458">
        <v>0</v>
      </c>
      <c r="E61" s="458">
        <v>0</v>
      </c>
      <c r="F61" s="458">
        <v>0</v>
      </c>
      <c r="G61" s="458">
        <v>0</v>
      </c>
    </row>
    <row r="62" spans="1:7" ht="15">
      <c r="A62" s="1214" t="s">
        <v>10</v>
      </c>
      <c r="B62" s="123" t="s">
        <v>1406</v>
      </c>
      <c r="C62" s="39" t="s">
        <v>1562</v>
      </c>
      <c r="D62" s="460">
        <v>0</v>
      </c>
      <c r="E62" s="460">
        <v>0</v>
      </c>
      <c r="F62" s="462">
        <v>0</v>
      </c>
      <c r="G62" s="462">
        <v>0</v>
      </c>
    </row>
    <row r="63" spans="1:7" ht="15">
      <c r="A63" s="1214"/>
      <c r="B63" s="1215" t="s">
        <v>1560</v>
      </c>
      <c r="C63" s="39" t="s">
        <v>1562</v>
      </c>
      <c r="D63" s="460">
        <v>0</v>
      </c>
      <c r="E63" s="460">
        <v>0</v>
      </c>
      <c r="F63" s="462">
        <v>0</v>
      </c>
      <c r="G63" s="462">
        <v>0</v>
      </c>
    </row>
    <row r="64" spans="1:7" ht="15">
      <c r="A64" s="1214"/>
      <c r="B64" s="1216"/>
      <c r="C64" s="39" t="s">
        <v>1534</v>
      </c>
      <c r="D64" s="458">
        <v>0</v>
      </c>
      <c r="E64" s="458">
        <v>0</v>
      </c>
      <c r="F64" s="458">
        <v>0</v>
      </c>
      <c r="G64" s="458">
        <v>0</v>
      </c>
    </row>
    <row r="65" spans="1:7" ht="15">
      <c r="A65" s="1214" t="s">
        <v>11</v>
      </c>
      <c r="B65" s="123" t="s">
        <v>1529</v>
      </c>
      <c r="C65" s="39" t="s">
        <v>1562</v>
      </c>
      <c r="D65" s="460">
        <v>3</v>
      </c>
      <c r="E65" s="460">
        <v>3</v>
      </c>
      <c r="F65" s="462">
        <v>3</v>
      </c>
      <c r="G65" s="462">
        <v>3</v>
      </c>
    </row>
    <row r="66" spans="1:7" ht="15">
      <c r="A66" s="1214"/>
      <c r="B66" s="1215" t="s">
        <v>1560</v>
      </c>
      <c r="C66" s="39" t="s">
        <v>1562</v>
      </c>
      <c r="D66" s="460">
        <v>3</v>
      </c>
      <c r="E66" s="460">
        <v>3</v>
      </c>
      <c r="F66" s="462">
        <v>3</v>
      </c>
      <c r="G66" s="462">
        <v>3</v>
      </c>
    </row>
    <row r="67" spans="1:7" ht="15">
      <c r="A67" s="1214"/>
      <c r="B67" s="1216"/>
      <c r="C67" s="39" t="s">
        <v>1534</v>
      </c>
      <c r="D67" s="458">
        <f>D66/D65</f>
        <v>1</v>
      </c>
      <c r="E67" s="458">
        <f>E66/E65</f>
        <v>1</v>
      </c>
      <c r="F67" s="458">
        <f>F66/F65</f>
        <v>1</v>
      </c>
      <c r="G67" s="458">
        <f>G66/G65</f>
        <v>1</v>
      </c>
    </row>
    <row r="68" spans="1:7" s="168" customFormat="1" ht="15">
      <c r="A68" s="1225" t="s">
        <v>165</v>
      </c>
      <c r="B68" s="167" t="s">
        <v>166</v>
      </c>
      <c r="C68" s="39" t="s">
        <v>1562</v>
      </c>
      <c r="D68" s="460">
        <v>0</v>
      </c>
      <c r="E68" s="460">
        <v>0</v>
      </c>
      <c r="F68" s="462">
        <v>0</v>
      </c>
      <c r="G68" s="462">
        <v>0</v>
      </c>
    </row>
    <row r="69" spans="1:7" s="168" customFormat="1" ht="15">
      <c r="A69" s="1226"/>
      <c r="B69" s="1228" t="s">
        <v>1560</v>
      </c>
      <c r="C69" s="39" t="s">
        <v>1562</v>
      </c>
      <c r="D69" s="460">
        <v>0</v>
      </c>
      <c r="E69" s="460">
        <v>0</v>
      </c>
      <c r="F69" s="462">
        <v>0</v>
      </c>
      <c r="G69" s="462">
        <v>0</v>
      </c>
    </row>
    <row r="70" spans="1:7" s="168" customFormat="1" ht="15">
      <c r="A70" s="1227"/>
      <c r="B70" s="1229"/>
      <c r="C70" s="39" t="s">
        <v>1534</v>
      </c>
      <c r="D70" s="458">
        <v>0</v>
      </c>
      <c r="E70" s="458">
        <v>0</v>
      </c>
      <c r="F70" s="458">
        <v>0</v>
      </c>
      <c r="G70" s="458">
        <v>0</v>
      </c>
    </row>
    <row r="71" spans="1:7" ht="12.75" customHeight="1">
      <c r="A71" s="40"/>
      <c r="B71" s="40"/>
      <c r="C71" s="40"/>
      <c r="D71" s="40"/>
      <c r="E71" s="40"/>
      <c r="F71" s="40"/>
      <c r="G71" s="40"/>
    </row>
    <row r="72" spans="1:7" ht="15">
      <c r="A72" s="1224" t="s">
        <v>1530</v>
      </c>
      <c r="B72" s="1224"/>
      <c r="C72" s="1224"/>
      <c r="D72" s="1224"/>
      <c r="E72" s="1224"/>
      <c r="F72" s="1224"/>
      <c r="G72" s="40"/>
    </row>
    <row r="73" spans="1:7" ht="15">
      <c r="A73" s="1223" t="s">
        <v>1524</v>
      </c>
      <c r="B73" s="1223"/>
      <c r="C73" s="1223"/>
      <c r="D73" s="1223"/>
      <c r="E73" s="1223"/>
      <c r="F73" s="1223"/>
      <c r="G73" s="1223"/>
    </row>
  </sheetData>
  <mergeCells count="49">
    <mergeCell ref="A73:G73"/>
    <mergeCell ref="A65:A67"/>
    <mergeCell ref="B42:B43"/>
    <mergeCell ref="A50:A52"/>
    <mergeCell ref="A59:A61"/>
    <mergeCell ref="A72:F72"/>
    <mergeCell ref="B45:B46"/>
    <mergeCell ref="A44:A46"/>
    <mergeCell ref="A41:A43"/>
    <mergeCell ref="B54:B55"/>
    <mergeCell ref="B48:B49"/>
    <mergeCell ref="A68:A70"/>
    <mergeCell ref="A62:A64"/>
    <mergeCell ref="B69:B70"/>
    <mergeCell ref="B60:B61"/>
    <mergeCell ref="B51:B52"/>
    <mergeCell ref="B66:B67"/>
    <mergeCell ref="B63:B64"/>
    <mergeCell ref="A56:A58"/>
    <mergeCell ref="B57:B58"/>
    <mergeCell ref="A53:A55"/>
    <mergeCell ref="A47:A49"/>
    <mergeCell ref="A1:G1"/>
    <mergeCell ref="D2:G2"/>
    <mergeCell ref="A2:A3"/>
    <mergeCell ref="A5:A7"/>
    <mergeCell ref="C2:C3"/>
    <mergeCell ref="B2:B3"/>
    <mergeCell ref="B6:B7"/>
    <mergeCell ref="B27:B28"/>
    <mergeCell ref="A8:A10"/>
    <mergeCell ref="B9:B10"/>
    <mergeCell ref="B12:B13"/>
    <mergeCell ref="A26:A28"/>
    <mergeCell ref="B33:B34"/>
    <mergeCell ref="B15:B16"/>
    <mergeCell ref="A23:A25"/>
    <mergeCell ref="B39:B40"/>
    <mergeCell ref="A29:A34"/>
    <mergeCell ref="B36:B37"/>
    <mergeCell ref="A35:A37"/>
    <mergeCell ref="A38:A40"/>
    <mergeCell ref="A11:A13"/>
    <mergeCell ref="A14:A16"/>
    <mergeCell ref="A17:A22"/>
    <mergeCell ref="B30:B31"/>
    <mergeCell ref="B24:B25"/>
    <mergeCell ref="B21:B22"/>
    <mergeCell ref="B18:B19"/>
  </mergeCells>
  <phoneticPr fontId="2" type="noConversion"/>
  <dataValidations count="14">
    <dataValidation type="whole" operator="lessThanOrEqual" showInputMessage="1" showErrorMessage="1" error="Не повинно бути більше за кількість всього автокранів" sqref="D9:E9">
      <formula1>D8</formula1>
    </dataValidation>
    <dataValidation type="whole" operator="lessThanOrEqual" showInputMessage="1" showErrorMessage="1" error="Не повинно бути більше за кількість всього електролабораторій" sqref="D27:E27">
      <formula1>D26</formula1>
    </dataValidation>
    <dataValidation type="whole" operator="lessThanOrEqual" showInputMessage="1" showErrorMessage="1" error="Не повинно бути більше за кількість всього пересувних електромеханічних майстерень" sqref="D24:E24">
      <formula1>D23</formula1>
    </dataValidation>
    <dataValidation type="whole" operator="lessThanOrEqual" showInputMessage="1" showErrorMessage="1" error="Не повинно бути більше за кількість всього телевишок та автогідропідйомників" sqref="D18:E18">
      <formula1>D17</formula1>
    </dataValidation>
    <dataValidation type="whole" operator="lessThanOrEqual" showInputMessage="1" showErrorMessage="1" error="Не повинно бути більше за кількість всього бурокранових установок" sqref="D15:E15">
      <formula1>D14</formula1>
    </dataValidation>
    <dataValidation type="whole" operator="lessThanOrEqual" showInputMessage="1" showErrorMessage="1" error="Не повинно бути більше за кількість всього автобурових машин" sqref="D12:E12">
      <formula1>D11</formula1>
    </dataValidation>
    <dataValidation type="whole" operator="lessThanOrEqual" showInputMessage="1" showErrorMessage="1" error="Не повинно бути більше за кількість всього автотракторної техніки і спецмеханізмів в електричних мережах _x000a_мінус іншу спецтехніку п. 27" sqref="D8:E8">
      <formula1>D5-D11-D14-D17-D23-D26-D29</formula1>
    </dataValidation>
    <dataValidation type="whole" operator="lessThanOrEqual" showInputMessage="1" showErrorMessage="1" error="Не повинно бути більше за кількість всього автотракторної техніки і спецмеханізмів в електричних мережах _x000a_мінус іншу спецтехніку п. 27" sqref="D11:E11">
      <formula1>D5-D8-D14-D17-D23-D26-D29</formula1>
    </dataValidation>
    <dataValidation type="whole" operator="lessThanOrEqual" showInputMessage="1" showErrorMessage="1" error="Не повинно бути більше за кількість всього автотракторної техніки і спецмеханізмів в електричних мережах _x000a_мінус іншу спецтехніку п. 27" sqref="D14:E14">
      <formula1>D5-D8-D11-D17-D23-D26-D29</formula1>
    </dataValidation>
    <dataValidation type="whole" operator="lessThanOrEqual" showInputMessage="1" showErrorMessage="1" error="Не повинно бути більше за кількість всього автотракторної техніки і спецмеханізмів в електричних мережах _x000a_мінус іншу спецтехніку п. 27" sqref="D17:E17">
      <formula1>D5-D8-D11-D14-D23-D26-D29</formula1>
    </dataValidation>
    <dataValidation type="whole" operator="lessThanOrEqual" showInputMessage="1" showErrorMessage="1" error="Не повинно бути більше за кількість всього автотракторної техніки і спецмеханізмів в електричних мережах _x000a_мінус іншу спецтехніку п. 27" sqref="D23:E23">
      <formula1>D5-D8-D11-D14-D17-D26-D29</formula1>
    </dataValidation>
    <dataValidation type="whole" operator="lessThanOrEqual" showInputMessage="1" showErrorMessage="1" error="Не повинно бути більше за кількість всього автотракторної техніки і спецмеханізмів в електричних мережах _x000a_мінус іншу спецтехніку п. 27" sqref="D26:E26">
      <formula1>D5-D8-D11-D14-D17-D23-D29</formula1>
    </dataValidation>
    <dataValidation operator="lessThanOrEqual" showInputMessage="1" showErrorMessage="1" error="Не повинно бути більше за кількість всього автотракторної техніки і спецмеханізмів в електричних мережах" sqref="D55:E55 G58 G61 D49:E49 G64 D52:E52 D34:E34 D37:E37 D16:E16 D13:E13 D19:E22 D31:E31 D28:E28 G40 D25:E25 D43:E43 D46:E46 D10:E10 G25 D40:E40 D64:E64 D61:E61 D58:E58 D67:E67 G70 D70:E70"/>
    <dataValidation operator="lessThanOrEqual" showErrorMessage="1" errorTitle="Не заповнювати" error="Не повинно бути більше за кількість всього автотракторної техніки і спецмеханізмів в електричних мережах" sqref="F64 F13:G13 F16:G16 F19:G19 F22:G22 F28:G28 F31:G31 F34:G34 F37:G37 F10:G10 F43:G43 F46:G46 F49:G49 F52:G52 F55:G55 D7:G7 F25 F40 F58 F61 F67:G67 F70"/>
  </dataValidations>
  <pageMargins left="1.03" right="0.48" top="0.28999999999999998" bottom="0.37" header="0.27" footer="0.32"/>
  <pageSetup paperSize="9" scale="69" orientation="portrait" r:id="rId1"/>
  <headerFooter alignWithMargins="0"/>
  <ignoredErrors>
    <ignoredError sqref="B4" numberStoredAsText="1"/>
    <ignoredError sqref="A50:A68" twoDigitTextYear="1"/>
  </ignoredErrors>
</worksheet>
</file>

<file path=xl/worksheets/sheet17.xml><?xml version="1.0" encoding="utf-8"?>
<worksheet xmlns="http://schemas.openxmlformats.org/spreadsheetml/2006/main" xmlns:r="http://schemas.openxmlformats.org/officeDocument/2006/relationships">
  <sheetPr>
    <tabColor rgb="FF00B0F0"/>
  </sheetPr>
  <dimension ref="A1:P465"/>
  <sheetViews>
    <sheetView view="pageBreakPreview" topLeftCell="A271" zoomScale="85" zoomScaleNormal="55" zoomScaleSheetLayoutView="85" zoomScalePageLayoutView="70" workbookViewId="0">
      <selection activeCell="M459" sqref="M459"/>
    </sheetView>
  </sheetViews>
  <sheetFormatPr defaultRowHeight="12.75"/>
  <cols>
    <col min="1" max="1" width="3.7109375" style="919" customWidth="1"/>
    <col min="2" max="2" width="32" style="919" customWidth="1"/>
    <col min="3" max="3" width="16.7109375" style="919" customWidth="1"/>
    <col min="4" max="4" width="7.140625" style="919" customWidth="1"/>
    <col min="5" max="5" width="5.7109375" style="919" customWidth="1"/>
    <col min="6" max="6" width="17.85546875" style="919" customWidth="1"/>
    <col min="7" max="7" width="9.28515625" style="919" customWidth="1"/>
    <col min="8" max="8" width="8.5703125" style="919" customWidth="1"/>
    <col min="9" max="9" width="7.85546875" style="919" customWidth="1"/>
    <col min="10" max="10" width="9" style="919" customWidth="1"/>
    <col min="11" max="11" width="9.28515625" style="919" customWidth="1"/>
    <col min="12" max="12" width="11" style="919" customWidth="1"/>
    <col min="13" max="13" width="12" style="919" customWidth="1"/>
    <col min="14" max="14" width="11.28515625" style="919" customWidth="1"/>
    <col min="15" max="15" width="7.85546875" style="919" customWidth="1"/>
    <col min="16" max="16" width="9.42578125" style="919" customWidth="1"/>
    <col min="17" max="16384" width="9.140625" style="919"/>
  </cols>
  <sheetData>
    <row r="1" spans="1:16" s="918" customFormat="1" ht="15.75">
      <c r="A1" s="914"/>
      <c r="B1" s="914"/>
      <c r="C1" s="914"/>
      <c r="D1" s="914"/>
      <c r="E1" s="914"/>
      <c r="F1" s="914"/>
      <c r="G1" s="915"/>
      <c r="H1" s="916"/>
      <c r="I1" s="916"/>
      <c r="J1" s="916"/>
      <c r="K1" s="917"/>
      <c r="L1" s="914"/>
      <c r="M1" s="914"/>
      <c r="N1" s="914"/>
      <c r="O1" s="914"/>
      <c r="P1" s="914"/>
    </row>
    <row r="2" spans="1:16" ht="23.25" customHeight="1">
      <c r="A2" s="1231" t="s">
        <v>536</v>
      </c>
      <c r="B2" s="1232"/>
      <c r="C2" s="1232"/>
      <c r="D2" s="1232"/>
      <c r="E2" s="1232"/>
      <c r="F2" s="1232"/>
      <c r="G2" s="1232"/>
      <c r="H2" s="1232"/>
      <c r="I2" s="1232"/>
      <c r="J2" s="1232"/>
      <c r="K2" s="1232"/>
      <c r="L2" s="1232"/>
      <c r="M2" s="1232"/>
      <c r="N2" s="1232"/>
      <c r="O2" s="1232"/>
      <c r="P2" s="1233"/>
    </row>
    <row r="3" spans="1:16" s="920" customFormat="1" ht="81" customHeight="1">
      <c r="A3" s="1230" t="s">
        <v>1531</v>
      </c>
      <c r="B3" s="1230" t="s">
        <v>1411</v>
      </c>
      <c r="C3" s="1230" t="s">
        <v>1749</v>
      </c>
      <c r="D3" s="1230" t="s">
        <v>1750</v>
      </c>
      <c r="E3" s="1234" t="s">
        <v>1412</v>
      </c>
      <c r="F3" s="1230" t="s">
        <v>1751</v>
      </c>
      <c r="G3" s="1230" t="s">
        <v>1755</v>
      </c>
      <c r="H3" s="1230" t="s">
        <v>1413</v>
      </c>
      <c r="I3" s="1230"/>
      <c r="J3" s="1230" t="s">
        <v>1407</v>
      </c>
      <c r="K3" s="1230" t="s">
        <v>1756</v>
      </c>
      <c r="L3" s="1230" t="s">
        <v>1752</v>
      </c>
      <c r="M3" s="1230"/>
      <c r="N3" s="1230"/>
      <c r="O3" s="1230"/>
      <c r="P3" s="1230"/>
    </row>
    <row r="4" spans="1:16" ht="93" customHeight="1">
      <c r="A4" s="1230"/>
      <c r="B4" s="1230"/>
      <c r="C4" s="1230"/>
      <c r="D4" s="1230"/>
      <c r="E4" s="1235"/>
      <c r="F4" s="1230"/>
      <c r="G4" s="1230"/>
      <c r="H4" s="921" t="s">
        <v>1753</v>
      </c>
      <c r="I4" s="921" t="s">
        <v>1754</v>
      </c>
      <c r="J4" s="1230"/>
      <c r="K4" s="1230"/>
      <c r="L4" s="921" t="s">
        <v>1408</v>
      </c>
      <c r="M4" s="921" t="s">
        <v>1409</v>
      </c>
      <c r="N4" s="921" t="s">
        <v>1414</v>
      </c>
      <c r="O4" s="922" t="s">
        <v>1410</v>
      </c>
      <c r="P4" s="922" t="s">
        <v>1415</v>
      </c>
    </row>
    <row r="5" spans="1:16" ht="15" customHeight="1">
      <c r="A5" s="923">
        <v>1</v>
      </c>
      <c r="B5" s="923">
        <v>2</v>
      </c>
      <c r="C5" s="923">
        <v>3</v>
      </c>
      <c r="D5" s="923">
        <v>4</v>
      </c>
      <c r="E5" s="924">
        <v>5</v>
      </c>
      <c r="F5" s="923">
        <v>6</v>
      </c>
      <c r="G5" s="923">
        <v>7</v>
      </c>
      <c r="H5" s="923">
        <v>8</v>
      </c>
      <c r="I5" s="923">
        <v>9</v>
      </c>
      <c r="J5" s="923">
        <v>10</v>
      </c>
      <c r="K5" s="923">
        <v>11</v>
      </c>
      <c r="L5" s="923">
        <v>12</v>
      </c>
      <c r="M5" s="923">
        <v>13</v>
      </c>
      <c r="N5" s="923">
        <v>14</v>
      </c>
      <c r="O5" s="923">
        <v>15</v>
      </c>
      <c r="P5" s="923">
        <v>16</v>
      </c>
    </row>
    <row r="6" spans="1:16" ht="15">
      <c r="A6" s="925">
        <v>1</v>
      </c>
      <c r="B6" s="926" t="s">
        <v>676</v>
      </c>
      <c r="C6" s="927" t="s">
        <v>677</v>
      </c>
      <c r="D6" s="447">
        <v>2004</v>
      </c>
      <c r="E6" s="447">
        <v>8</v>
      </c>
      <c r="F6" s="928" t="s">
        <v>678</v>
      </c>
      <c r="G6" s="447">
        <v>11.5</v>
      </c>
      <c r="H6" s="447"/>
      <c r="I6" s="447"/>
      <c r="J6" s="447">
        <v>0</v>
      </c>
      <c r="K6" s="448"/>
      <c r="L6" s="447"/>
      <c r="M6" s="447"/>
      <c r="N6" s="447"/>
      <c r="O6" s="447"/>
      <c r="P6" s="447"/>
    </row>
    <row r="7" spans="1:16" ht="15">
      <c r="A7" s="925">
        <v>2</v>
      </c>
      <c r="B7" s="926" t="s">
        <v>679</v>
      </c>
      <c r="C7" s="927" t="s">
        <v>680</v>
      </c>
      <c r="D7" s="447">
        <v>2012</v>
      </c>
      <c r="E7" s="447">
        <v>0</v>
      </c>
      <c r="F7" s="928" t="s">
        <v>678</v>
      </c>
      <c r="G7" s="447">
        <v>11.5</v>
      </c>
      <c r="H7" s="447"/>
      <c r="I7" s="447"/>
      <c r="J7" s="447">
        <v>75976.05</v>
      </c>
      <c r="K7" s="448"/>
      <c r="L7" s="447"/>
      <c r="M7" s="447"/>
      <c r="N7" s="447"/>
      <c r="O7" s="447"/>
      <c r="P7" s="447"/>
    </row>
    <row r="8" spans="1:16" ht="15">
      <c r="A8" s="925">
        <v>3</v>
      </c>
      <c r="B8" s="926" t="s">
        <v>681</v>
      </c>
      <c r="C8" s="927" t="s">
        <v>682</v>
      </c>
      <c r="D8" s="447">
        <v>2000</v>
      </c>
      <c r="E8" s="447">
        <v>10</v>
      </c>
      <c r="F8" s="928" t="s">
        <v>678</v>
      </c>
      <c r="G8" s="447">
        <v>18.100000000000001</v>
      </c>
      <c r="H8" s="447"/>
      <c r="I8" s="447"/>
      <c r="J8" s="447">
        <v>0</v>
      </c>
      <c r="K8" s="448"/>
      <c r="L8" s="447"/>
      <c r="M8" s="447"/>
      <c r="N8" s="447"/>
      <c r="O8" s="447"/>
      <c r="P8" s="447"/>
    </row>
    <row r="9" spans="1:16" ht="15">
      <c r="A9" s="925">
        <v>4</v>
      </c>
      <c r="B9" s="926" t="s">
        <v>683</v>
      </c>
      <c r="C9" s="927" t="s">
        <v>684</v>
      </c>
      <c r="D9" s="447">
        <v>2004</v>
      </c>
      <c r="E9" s="447">
        <v>10</v>
      </c>
      <c r="F9" s="928" t="s">
        <v>678</v>
      </c>
      <c r="G9" s="447">
        <v>17</v>
      </c>
      <c r="H9" s="447">
        <v>1.8</v>
      </c>
      <c r="I9" s="447">
        <v>21.6</v>
      </c>
      <c r="J9" s="447">
        <v>0</v>
      </c>
      <c r="K9" s="448"/>
      <c r="L9" s="332"/>
      <c r="M9" s="447"/>
      <c r="N9" s="447"/>
      <c r="O9" s="447"/>
      <c r="P9" s="447"/>
    </row>
    <row r="10" spans="1:16" ht="15">
      <c r="A10" s="925">
        <v>5</v>
      </c>
      <c r="B10" s="926" t="s">
        <v>685</v>
      </c>
      <c r="C10" s="927" t="s">
        <v>686</v>
      </c>
      <c r="D10" s="447">
        <v>1986</v>
      </c>
      <c r="E10" s="447">
        <v>10</v>
      </c>
      <c r="F10" s="928" t="s">
        <v>678</v>
      </c>
      <c r="G10" s="447">
        <v>47</v>
      </c>
      <c r="H10" s="447"/>
      <c r="I10" s="447"/>
      <c r="J10" s="447">
        <v>0</v>
      </c>
      <c r="K10" s="448"/>
      <c r="L10" s="447"/>
      <c r="M10" s="447"/>
      <c r="N10" s="447"/>
      <c r="O10" s="447"/>
      <c r="P10" s="447"/>
    </row>
    <row r="11" spans="1:16" ht="15">
      <c r="A11" s="925">
        <v>6</v>
      </c>
      <c r="B11" s="929" t="s">
        <v>687</v>
      </c>
      <c r="C11" s="927" t="s">
        <v>682</v>
      </c>
      <c r="D11" s="447">
        <v>1990</v>
      </c>
      <c r="E11" s="447">
        <v>10</v>
      </c>
      <c r="F11" s="928" t="s">
        <v>678</v>
      </c>
      <c r="G11" s="447">
        <v>27</v>
      </c>
      <c r="H11" s="447"/>
      <c r="I11" s="447"/>
      <c r="J11" s="447">
        <v>0</v>
      </c>
      <c r="K11" s="448"/>
      <c r="L11" s="447"/>
      <c r="M11" s="447"/>
      <c r="N11" s="447"/>
      <c r="O11" s="447"/>
      <c r="P11" s="447"/>
    </row>
    <row r="12" spans="1:16" ht="15">
      <c r="A12" s="925">
        <v>7</v>
      </c>
      <c r="B12" s="929" t="s">
        <v>688</v>
      </c>
      <c r="C12" s="927" t="s">
        <v>682</v>
      </c>
      <c r="D12" s="447">
        <v>1990</v>
      </c>
      <c r="E12" s="447">
        <v>10</v>
      </c>
      <c r="F12" s="928" t="s">
        <v>678</v>
      </c>
      <c r="G12" s="447">
        <v>27</v>
      </c>
      <c r="H12" s="447"/>
      <c r="I12" s="447"/>
      <c r="J12" s="447">
        <v>0</v>
      </c>
      <c r="K12" s="448"/>
      <c r="L12" s="447"/>
      <c r="M12" s="447"/>
      <c r="N12" s="447"/>
      <c r="O12" s="447"/>
      <c r="P12" s="447"/>
    </row>
    <row r="13" spans="1:16" ht="15">
      <c r="A13" s="925">
        <v>8</v>
      </c>
      <c r="B13" s="929" t="s">
        <v>689</v>
      </c>
      <c r="C13" s="927" t="s">
        <v>682</v>
      </c>
      <c r="D13" s="447">
        <v>1992</v>
      </c>
      <c r="E13" s="447">
        <v>10</v>
      </c>
      <c r="F13" s="928" t="s">
        <v>678</v>
      </c>
      <c r="G13" s="447">
        <v>32</v>
      </c>
      <c r="H13" s="447"/>
      <c r="I13" s="447"/>
      <c r="J13" s="447">
        <v>0</v>
      </c>
      <c r="K13" s="448"/>
      <c r="L13" s="447"/>
      <c r="M13" s="447"/>
      <c r="N13" s="447"/>
      <c r="O13" s="447"/>
      <c r="P13" s="447"/>
    </row>
    <row r="14" spans="1:16" ht="15">
      <c r="A14" s="925">
        <v>9</v>
      </c>
      <c r="B14" s="929" t="s">
        <v>690</v>
      </c>
      <c r="C14" s="927" t="s">
        <v>691</v>
      </c>
      <c r="D14" s="447">
        <v>1984</v>
      </c>
      <c r="E14" s="447">
        <v>10</v>
      </c>
      <c r="F14" s="928" t="s">
        <v>678</v>
      </c>
      <c r="G14" s="447">
        <v>31</v>
      </c>
      <c r="H14" s="447"/>
      <c r="I14" s="447"/>
      <c r="J14" s="447">
        <v>0</v>
      </c>
      <c r="K14" s="448"/>
      <c r="L14" s="447"/>
      <c r="M14" s="447"/>
      <c r="N14" s="447"/>
      <c r="O14" s="447"/>
      <c r="P14" s="447"/>
    </row>
    <row r="15" spans="1:16" ht="15">
      <c r="A15" s="925">
        <v>10</v>
      </c>
      <c r="B15" s="929" t="s">
        <v>692</v>
      </c>
      <c r="C15" s="927" t="s">
        <v>682</v>
      </c>
      <c r="D15" s="447">
        <v>1990</v>
      </c>
      <c r="E15" s="447">
        <v>10</v>
      </c>
      <c r="F15" s="928" t="s">
        <v>678</v>
      </c>
      <c r="G15" s="447">
        <v>32</v>
      </c>
      <c r="H15" s="447"/>
      <c r="I15" s="447"/>
      <c r="J15" s="447">
        <v>0</v>
      </c>
      <c r="K15" s="448"/>
      <c r="L15" s="447"/>
      <c r="M15" s="447"/>
      <c r="N15" s="447"/>
      <c r="O15" s="447"/>
      <c r="P15" s="447"/>
    </row>
    <row r="16" spans="1:16" ht="15">
      <c r="A16" s="925">
        <v>11</v>
      </c>
      <c r="B16" s="929" t="s">
        <v>693</v>
      </c>
      <c r="C16" s="927" t="s">
        <v>694</v>
      </c>
      <c r="D16" s="447">
        <v>2012</v>
      </c>
      <c r="E16" s="447">
        <v>0</v>
      </c>
      <c r="F16" s="928" t="s">
        <v>678</v>
      </c>
      <c r="G16" s="447">
        <v>8</v>
      </c>
      <c r="H16" s="447"/>
      <c r="I16" s="447"/>
      <c r="J16" s="447">
        <v>59985.63</v>
      </c>
      <c r="K16" s="448"/>
      <c r="L16" s="447"/>
      <c r="M16" s="447"/>
      <c r="N16" s="447"/>
      <c r="O16" s="447"/>
      <c r="P16" s="447"/>
    </row>
    <row r="17" spans="1:16" ht="15">
      <c r="A17" s="925">
        <v>12</v>
      </c>
      <c r="B17" s="929" t="s">
        <v>695</v>
      </c>
      <c r="C17" s="927" t="s">
        <v>696</v>
      </c>
      <c r="D17" s="447">
        <v>2001</v>
      </c>
      <c r="E17" s="447">
        <v>10</v>
      </c>
      <c r="F17" s="928" t="s">
        <v>678</v>
      </c>
      <c r="G17" s="447">
        <v>17.899999999999999</v>
      </c>
      <c r="H17" s="447">
        <v>1.8</v>
      </c>
      <c r="I17" s="447">
        <v>21.6</v>
      </c>
      <c r="J17" s="447">
        <v>0</v>
      </c>
      <c r="K17" s="448"/>
      <c r="L17" s="447"/>
      <c r="M17" s="447"/>
      <c r="N17" s="447"/>
      <c r="O17" s="447"/>
      <c r="P17" s="447"/>
    </row>
    <row r="18" spans="1:16" ht="15">
      <c r="A18" s="925">
        <v>13</v>
      </c>
      <c r="B18" s="929" t="s">
        <v>697</v>
      </c>
      <c r="C18" s="927" t="s">
        <v>682</v>
      </c>
      <c r="D18" s="447">
        <v>2000</v>
      </c>
      <c r="E18" s="447">
        <v>10</v>
      </c>
      <c r="F18" s="928" t="s">
        <v>678</v>
      </c>
      <c r="G18" s="447">
        <v>18.399999999999999</v>
      </c>
      <c r="H18" s="447"/>
      <c r="I18" s="447"/>
      <c r="J18" s="447">
        <v>0</v>
      </c>
      <c r="K18" s="930"/>
      <c r="L18" s="931"/>
      <c r="M18" s="932"/>
      <c r="N18" s="332"/>
      <c r="O18" s="332"/>
      <c r="P18" s="332"/>
    </row>
    <row r="19" spans="1:16" ht="15">
      <c r="A19" s="925">
        <v>14</v>
      </c>
      <c r="B19" s="929" t="s">
        <v>698</v>
      </c>
      <c r="C19" s="927" t="s">
        <v>696</v>
      </c>
      <c r="D19" s="447">
        <v>2001</v>
      </c>
      <c r="E19" s="447">
        <v>10</v>
      </c>
      <c r="F19" s="928" t="s">
        <v>678</v>
      </c>
      <c r="G19" s="447">
        <v>17.899999999999999</v>
      </c>
      <c r="H19" s="447"/>
      <c r="I19" s="447"/>
      <c r="J19" s="447">
        <v>0</v>
      </c>
      <c r="K19" s="448"/>
      <c r="L19" s="447"/>
      <c r="M19" s="447"/>
      <c r="N19" s="447"/>
      <c r="O19" s="447"/>
      <c r="P19" s="447"/>
    </row>
    <row r="20" spans="1:16" ht="15">
      <c r="A20" s="925">
        <v>15</v>
      </c>
      <c r="B20" s="929" t="s">
        <v>699</v>
      </c>
      <c r="C20" s="927" t="s">
        <v>696</v>
      </c>
      <c r="D20" s="447">
        <v>2001</v>
      </c>
      <c r="E20" s="447">
        <v>10</v>
      </c>
      <c r="F20" s="928" t="s">
        <v>678</v>
      </c>
      <c r="G20" s="447">
        <v>17.899999999999999</v>
      </c>
      <c r="H20" s="447"/>
      <c r="I20" s="447"/>
      <c r="J20" s="447">
        <v>0</v>
      </c>
      <c r="K20" s="448"/>
      <c r="L20" s="447"/>
      <c r="M20" s="447"/>
      <c r="N20" s="447"/>
      <c r="O20" s="447"/>
      <c r="P20" s="447"/>
    </row>
    <row r="21" spans="1:16" ht="15">
      <c r="A21" s="925">
        <v>16</v>
      </c>
      <c r="B21" s="929" t="s">
        <v>700</v>
      </c>
      <c r="C21" s="927" t="s">
        <v>696</v>
      </c>
      <c r="D21" s="447">
        <v>2001</v>
      </c>
      <c r="E21" s="447">
        <v>10</v>
      </c>
      <c r="F21" s="928" t="s">
        <v>678</v>
      </c>
      <c r="G21" s="447">
        <v>17.899999999999999</v>
      </c>
      <c r="H21" s="447"/>
      <c r="I21" s="447"/>
      <c r="J21" s="447">
        <v>0</v>
      </c>
      <c r="K21" s="448"/>
      <c r="L21" s="447"/>
      <c r="M21" s="447"/>
      <c r="N21" s="447"/>
      <c r="O21" s="447"/>
      <c r="P21" s="447"/>
    </row>
    <row r="22" spans="1:16" ht="15">
      <c r="A22" s="925">
        <v>17</v>
      </c>
      <c r="B22" s="929" t="s">
        <v>701</v>
      </c>
      <c r="C22" s="927" t="s">
        <v>702</v>
      </c>
      <c r="D22" s="447">
        <v>1996</v>
      </c>
      <c r="E22" s="447">
        <v>10</v>
      </c>
      <c r="F22" s="928" t="s">
        <v>678</v>
      </c>
      <c r="G22" s="447">
        <v>17.8</v>
      </c>
      <c r="H22" s="447"/>
      <c r="I22" s="447"/>
      <c r="J22" s="447">
        <v>0</v>
      </c>
      <c r="K22" s="448"/>
      <c r="L22" s="447"/>
      <c r="M22" s="447"/>
      <c r="N22" s="447"/>
      <c r="O22" s="447"/>
      <c r="P22" s="447"/>
    </row>
    <row r="23" spans="1:16" ht="15">
      <c r="A23" s="925">
        <v>18</v>
      </c>
      <c r="B23" s="929" t="s">
        <v>703</v>
      </c>
      <c r="C23" s="927" t="s">
        <v>691</v>
      </c>
      <c r="D23" s="447">
        <v>2000</v>
      </c>
      <c r="E23" s="447">
        <v>10</v>
      </c>
      <c r="F23" s="928" t="s">
        <v>678</v>
      </c>
      <c r="G23" s="447">
        <v>17.899999999999999</v>
      </c>
      <c r="H23" s="447"/>
      <c r="I23" s="447"/>
      <c r="J23" s="447">
        <v>0</v>
      </c>
      <c r="K23" s="448"/>
      <c r="L23" s="447"/>
      <c r="M23" s="447"/>
      <c r="N23" s="447"/>
      <c r="O23" s="447"/>
      <c r="P23" s="447"/>
    </row>
    <row r="24" spans="1:16" ht="15">
      <c r="A24" s="925">
        <v>19</v>
      </c>
      <c r="B24" s="929" t="s">
        <v>704</v>
      </c>
      <c r="C24" s="927" t="s">
        <v>691</v>
      </c>
      <c r="D24" s="447">
        <v>2003</v>
      </c>
      <c r="E24" s="447">
        <v>10</v>
      </c>
      <c r="F24" s="928" t="s">
        <v>678</v>
      </c>
      <c r="G24" s="447">
        <v>22.7</v>
      </c>
      <c r="H24" s="447"/>
      <c r="I24" s="447"/>
      <c r="J24" s="447">
        <v>0</v>
      </c>
      <c r="K24" s="448"/>
      <c r="L24" s="447"/>
      <c r="M24" s="447"/>
      <c r="N24" s="447"/>
      <c r="O24" s="447"/>
      <c r="P24" s="447"/>
    </row>
    <row r="25" spans="1:16" ht="15">
      <c r="A25" s="925">
        <v>20</v>
      </c>
      <c r="B25" s="929" t="s">
        <v>705</v>
      </c>
      <c r="C25" s="927" t="s">
        <v>691</v>
      </c>
      <c r="D25" s="447">
        <v>2003</v>
      </c>
      <c r="E25" s="447">
        <v>10</v>
      </c>
      <c r="F25" s="928" t="s">
        <v>678</v>
      </c>
      <c r="G25" s="447">
        <v>22.7</v>
      </c>
      <c r="H25" s="447"/>
      <c r="I25" s="447"/>
      <c r="J25" s="447">
        <v>0</v>
      </c>
      <c r="K25" s="448"/>
      <c r="L25" s="447"/>
      <c r="M25" s="447"/>
      <c r="N25" s="447"/>
      <c r="O25" s="447"/>
      <c r="P25" s="447"/>
    </row>
    <row r="26" spans="1:16" ht="15">
      <c r="A26" s="925">
        <v>21</v>
      </c>
      <c r="B26" s="929" t="s">
        <v>706</v>
      </c>
      <c r="C26" s="927" t="s">
        <v>682</v>
      </c>
      <c r="D26" s="447">
        <v>2004</v>
      </c>
      <c r="E26" s="447">
        <v>10</v>
      </c>
      <c r="F26" s="928" t="s">
        <v>678</v>
      </c>
      <c r="G26" s="447">
        <v>22.7</v>
      </c>
      <c r="H26" s="447"/>
      <c r="I26" s="447"/>
      <c r="J26" s="447">
        <v>0</v>
      </c>
      <c r="K26" s="448"/>
      <c r="L26" s="447"/>
      <c r="M26" s="447"/>
      <c r="N26" s="447"/>
      <c r="O26" s="447"/>
      <c r="P26" s="447"/>
    </row>
    <row r="27" spans="1:16" ht="15">
      <c r="A27" s="925">
        <v>22</v>
      </c>
      <c r="B27" s="929" t="s">
        <v>707</v>
      </c>
      <c r="C27" s="927" t="s">
        <v>682</v>
      </c>
      <c r="D27" s="447">
        <v>2005</v>
      </c>
      <c r="E27" s="447">
        <v>10</v>
      </c>
      <c r="F27" s="928" t="s">
        <v>678</v>
      </c>
      <c r="G27" s="447">
        <v>22.7</v>
      </c>
      <c r="H27" s="447"/>
      <c r="I27" s="447"/>
      <c r="J27" s="447">
        <v>20350.080000000002</v>
      </c>
      <c r="K27" s="448"/>
      <c r="L27" s="447"/>
      <c r="M27" s="447"/>
      <c r="N27" s="447"/>
      <c r="O27" s="447"/>
      <c r="P27" s="447"/>
    </row>
    <row r="28" spans="1:16" ht="15">
      <c r="A28" s="925">
        <v>23</v>
      </c>
      <c r="B28" s="929" t="s">
        <v>708</v>
      </c>
      <c r="C28" s="927" t="s">
        <v>684</v>
      </c>
      <c r="D28" s="447">
        <v>2005</v>
      </c>
      <c r="E28" s="447">
        <v>10</v>
      </c>
      <c r="F28" s="928" t="s">
        <v>678</v>
      </c>
      <c r="G28" s="447">
        <v>11</v>
      </c>
      <c r="H28" s="447"/>
      <c r="I28" s="447"/>
      <c r="J28" s="447">
        <v>2706.49</v>
      </c>
      <c r="K28" s="448"/>
      <c r="L28" s="447"/>
      <c r="M28" s="447"/>
      <c r="N28" s="447"/>
      <c r="O28" s="447"/>
      <c r="P28" s="447"/>
    </row>
    <row r="29" spans="1:16" ht="15">
      <c r="A29" s="925">
        <v>24</v>
      </c>
      <c r="B29" s="929" t="s">
        <v>709</v>
      </c>
      <c r="C29" s="927" t="s">
        <v>686</v>
      </c>
      <c r="D29" s="447">
        <v>2001</v>
      </c>
      <c r="E29" s="447">
        <v>10</v>
      </c>
      <c r="F29" s="928" t="s">
        <v>678</v>
      </c>
      <c r="G29" s="447">
        <v>47</v>
      </c>
      <c r="H29" s="447"/>
      <c r="I29" s="447"/>
      <c r="J29" s="447">
        <v>0</v>
      </c>
      <c r="K29" s="448"/>
      <c r="L29" s="447"/>
      <c r="M29" s="447"/>
      <c r="N29" s="447"/>
      <c r="O29" s="447"/>
      <c r="P29" s="447"/>
    </row>
    <row r="30" spans="1:16" ht="15">
      <c r="A30" s="925">
        <v>25</v>
      </c>
      <c r="B30" s="929" t="s">
        <v>710</v>
      </c>
      <c r="C30" s="927" t="s">
        <v>691</v>
      </c>
      <c r="D30" s="447">
        <v>1984</v>
      </c>
      <c r="E30" s="447">
        <v>10</v>
      </c>
      <c r="F30" s="928" t="s">
        <v>678</v>
      </c>
      <c r="G30" s="447">
        <v>31</v>
      </c>
      <c r="H30" s="447"/>
      <c r="I30" s="447"/>
      <c r="J30" s="447">
        <v>0</v>
      </c>
      <c r="K30" s="448"/>
      <c r="L30" s="447"/>
      <c r="M30" s="447"/>
      <c r="N30" s="447"/>
      <c r="O30" s="447"/>
      <c r="P30" s="447"/>
    </row>
    <row r="31" spans="1:16" ht="15">
      <c r="A31" s="925">
        <v>26</v>
      </c>
      <c r="B31" s="929" t="s">
        <v>711</v>
      </c>
      <c r="C31" s="927" t="s">
        <v>677</v>
      </c>
      <c r="D31" s="447">
        <v>1998</v>
      </c>
      <c r="E31" s="447">
        <v>8</v>
      </c>
      <c r="F31" s="928" t="s">
        <v>678</v>
      </c>
      <c r="G31" s="447">
        <v>8.3000000000000007</v>
      </c>
      <c r="H31" s="447"/>
      <c r="I31" s="447"/>
      <c r="J31" s="447">
        <v>0</v>
      </c>
      <c r="K31" s="448"/>
      <c r="L31" s="447"/>
      <c r="M31" s="447"/>
      <c r="N31" s="447"/>
      <c r="O31" s="447"/>
      <c r="P31" s="447"/>
    </row>
    <row r="32" spans="1:16" ht="15">
      <c r="A32" s="925">
        <v>27</v>
      </c>
      <c r="B32" s="929" t="s">
        <v>712</v>
      </c>
      <c r="C32" s="927" t="s">
        <v>677</v>
      </c>
      <c r="D32" s="447">
        <v>2006</v>
      </c>
      <c r="E32" s="447">
        <v>8</v>
      </c>
      <c r="F32" s="928" t="s">
        <v>678</v>
      </c>
      <c r="G32" s="447">
        <v>7.6</v>
      </c>
      <c r="H32" s="447"/>
      <c r="I32" s="447"/>
      <c r="J32" s="447">
        <v>3514.91</v>
      </c>
      <c r="K32" s="448"/>
      <c r="L32" s="447"/>
      <c r="M32" s="447"/>
      <c r="N32" s="447"/>
      <c r="O32" s="447"/>
      <c r="P32" s="447"/>
    </row>
    <row r="33" spans="1:16" ht="15">
      <c r="A33" s="925">
        <v>28</v>
      </c>
      <c r="B33" s="929" t="s">
        <v>713</v>
      </c>
      <c r="C33" s="927" t="s">
        <v>677</v>
      </c>
      <c r="D33" s="447">
        <v>2006</v>
      </c>
      <c r="E33" s="447">
        <v>8</v>
      </c>
      <c r="F33" s="928" t="s">
        <v>678</v>
      </c>
      <c r="G33" s="447">
        <v>7.6</v>
      </c>
      <c r="H33" s="447"/>
      <c r="I33" s="447"/>
      <c r="J33" s="447">
        <v>3517.26</v>
      </c>
      <c r="K33" s="448"/>
      <c r="L33" s="447"/>
      <c r="M33" s="447"/>
      <c r="N33" s="447"/>
      <c r="O33" s="447"/>
      <c r="P33" s="447"/>
    </row>
    <row r="34" spans="1:16" ht="15">
      <c r="A34" s="925">
        <v>29</v>
      </c>
      <c r="B34" s="929" t="s">
        <v>714</v>
      </c>
      <c r="C34" s="927" t="s">
        <v>677</v>
      </c>
      <c r="D34" s="447">
        <v>2005</v>
      </c>
      <c r="E34" s="447">
        <v>8</v>
      </c>
      <c r="F34" s="928" t="s">
        <v>678</v>
      </c>
      <c r="G34" s="447">
        <v>7.6</v>
      </c>
      <c r="H34" s="447"/>
      <c r="I34" s="447"/>
      <c r="J34" s="447">
        <v>0</v>
      </c>
      <c r="K34" s="448"/>
      <c r="L34" s="447"/>
      <c r="M34" s="447"/>
      <c r="N34" s="447"/>
      <c r="O34" s="447"/>
      <c r="P34" s="447"/>
    </row>
    <row r="35" spans="1:16" ht="15">
      <c r="A35" s="925">
        <v>30</v>
      </c>
      <c r="B35" s="929" t="s">
        <v>715</v>
      </c>
      <c r="C35" s="927" t="s">
        <v>677</v>
      </c>
      <c r="D35" s="447">
        <v>2005</v>
      </c>
      <c r="E35" s="447">
        <v>8</v>
      </c>
      <c r="F35" s="928" t="s">
        <v>678</v>
      </c>
      <c r="G35" s="447">
        <v>11.5</v>
      </c>
      <c r="H35" s="447"/>
      <c r="I35" s="447"/>
      <c r="J35" s="447">
        <v>0</v>
      </c>
      <c r="K35" s="448"/>
      <c r="L35" s="447"/>
      <c r="M35" s="447"/>
      <c r="N35" s="447"/>
      <c r="O35" s="447"/>
      <c r="P35" s="447"/>
    </row>
    <row r="36" spans="1:16" ht="15">
      <c r="A36" s="925">
        <v>31</v>
      </c>
      <c r="B36" s="929" t="s">
        <v>716</v>
      </c>
      <c r="C36" s="927" t="s">
        <v>677</v>
      </c>
      <c r="D36" s="447">
        <v>2005</v>
      </c>
      <c r="E36" s="447">
        <v>8</v>
      </c>
      <c r="F36" s="928" t="s">
        <v>678</v>
      </c>
      <c r="G36" s="447">
        <v>11.5</v>
      </c>
      <c r="H36" s="447"/>
      <c r="I36" s="447"/>
      <c r="J36" s="447">
        <v>0</v>
      </c>
      <c r="K36" s="448"/>
      <c r="L36" s="447"/>
      <c r="M36" s="447"/>
      <c r="N36" s="447"/>
      <c r="O36" s="447"/>
      <c r="P36" s="447"/>
    </row>
    <row r="37" spans="1:16" ht="15">
      <c r="A37" s="925">
        <v>32</v>
      </c>
      <c r="B37" s="929" t="s">
        <v>717</v>
      </c>
      <c r="C37" s="927" t="s">
        <v>677</v>
      </c>
      <c r="D37" s="447">
        <v>2005</v>
      </c>
      <c r="E37" s="447">
        <v>8</v>
      </c>
      <c r="F37" s="928" t="s">
        <v>678</v>
      </c>
      <c r="G37" s="447">
        <v>11.5</v>
      </c>
      <c r="H37" s="447"/>
      <c r="I37" s="447"/>
      <c r="J37" s="447">
        <v>0</v>
      </c>
      <c r="K37" s="448"/>
      <c r="L37" s="447"/>
      <c r="M37" s="447"/>
      <c r="N37" s="447"/>
      <c r="O37" s="447"/>
      <c r="P37" s="447"/>
    </row>
    <row r="38" spans="1:16" ht="15">
      <c r="A38" s="925">
        <v>33</v>
      </c>
      <c r="B38" s="929" t="s">
        <v>718</v>
      </c>
      <c r="C38" s="927" t="s">
        <v>677</v>
      </c>
      <c r="D38" s="447">
        <v>2005</v>
      </c>
      <c r="E38" s="447">
        <v>8</v>
      </c>
      <c r="F38" s="928" t="s">
        <v>678</v>
      </c>
      <c r="G38" s="447">
        <v>11.5</v>
      </c>
      <c r="H38" s="447"/>
      <c r="I38" s="447"/>
      <c r="J38" s="447">
        <v>24836.34</v>
      </c>
      <c r="K38" s="448"/>
      <c r="L38" s="447"/>
      <c r="M38" s="447"/>
      <c r="N38" s="447"/>
      <c r="O38" s="447"/>
      <c r="P38" s="447"/>
    </row>
    <row r="39" spans="1:16" ht="15">
      <c r="A39" s="925">
        <v>34</v>
      </c>
      <c r="B39" s="929" t="s">
        <v>719</v>
      </c>
      <c r="C39" s="927" t="s">
        <v>702</v>
      </c>
      <c r="D39" s="447">
        <v>2000</v>
      </c>
      <c r="E39" s="447">
        <v>8</v>
      </c>
      <c r="F39" s="928" t="s">
        <v>678</v>
      </c>
      <c r="G39" s="447">
        <v>17</v>
      </c>
      <c r="H39" s="447"/>
      <c r="I39" s="447"/>
      <c r="J39" s="447">
        <v>0</v>
      </c>
      <c r="K39" s="448"/>
      <c r="L39" s="447"/>
      <c r="M39" s="447"/>
      <c r="N39" s="447"/>
      <c r="O39" s="447"/>
      <c r="P39" s="447"/>
    </row>
    <row r="40" spans="1:16" ht="15">
      <c r="A40" s="925">
        <v>35</v>
      </c>
      <c r="B40" s="929" t="s">
        <v>720</v>
      </c>
      <c r="C40" s="927" t="s">
        <v>702</v>
      </c>
      <c r="D40" s="447">
        <v>2002</v>
      </c>
      <c r="E40" s="447">
        <v>8</v>
      </c>
      <c r="F40" s="928" t="s">
        <v>678</v>
      </c>
      <c r="G40" s="447">
        <v>15.5</v>
      </c>
      <c r="H40" s="447"/>
      <c r="I40" s="447"/>
      <c r="J40" s="447">
        <v>0</v>
      </c>
      <c r="K40" s="448"/>
      <c r="L40" s="447"/>
      <c r="M40" s="447"/>
      <c r="N40" s="447"/>
      <c r="O40" s="447"/>
      <c r="P40" s="447"/>
    </row>
    <row r="41" spans="1:16" ht="15">
      <c r="A41" s="925">
        <v>36</v>
      </c>
      <c r="B41" s="929" t="s">
        <v>721</v>
      </c>
      <c r="C41" s="927" t="s">
        <v>682</v>
      </c>
      <c r="D41" s="447">
        <v>2004</v>
      </c>
      <c r="E41" s="447">
        <v>10</v>
      </c>
      <c r="F41" s="928" t="s">
        <v>678</v>
      </c>
      <c r="G41" s="447">
        <v>19.100000000000001</v>
      </c>
      <c r="H41" s="447"/>
      <c r="I41" s="447"/>
      <c r="J41" s="447">
        <v>127703.37</v>
      </c>
      <c r="K41" s="448"/>
      <c r="L41" s="447"/>
      <c r="M41" s="447"/>
      <c r="N41" s="447"/>
      <c r="O41" s="447"/>
      <c r="P41" s="447"/>
    </row>
    <row r="42" spans="1:16" ht="15">
      <c r="A42" s="925">
        <v>37</v>
      </c>
      <c r="B42" s="929" t="s">
        <v>722</v>
      </c>
      <c r="C42" s="927" t="s">
        <v>682</v>
      </c>
      <c r="D42" s="447">
        <v>2006</v>
      </c>
      <c r="E42" s="447">
        <v>10</v>
      </c>
      <c r="F42" s="928" t="s">
        <v>678</v>
      </c>
      <c r="G42" s="447">
        <v>18.399999999999999</v>
      </c>
      <c r="H42" s="447"/>
      <c r="I42" s="447"/>
      <c r="J42" s="447">
        <v>125127.65</v>
      </c>
      <c r="K42" s="448"/>
      <c r="L42" s="447"/>
      <c r="M42" s="447"/>
      <c r="N42" s="447"/>
      <c r="O42" s="447"/>
      <c r="P42" s="447"/>
    </row>
    <row r="43" spans="1:16" ht="15">
      <c r="A43" s="925">
        <v>38</v>
      </c>
      <c r="B43" s="929" t="s">
        <v>723</v>
      </c>
      <c r="C43" s="927" t="s">
        <v>684</v>
      </c>
      <c r="D43" s="447">
        <v>2005</v>
      </c>
      <c r="E43" s="447">
        <v>10</v>
      </c>
      <c r="F43" s="928" t="s">
        <v>678</v>
      </c>
      <c r="G43" s="447">
        <v>11</v>
      </c>
      <c r="H43" s="447"/>
      <c r="I43" s="447"/>
      <c r="J43" s="447">
        <v>3217.66</v>
      </c>
      <c r="K43" s="448"/>
      <c r="L43" s="447"/>
      <c r="M43" s="447"/>
      <c r="N43" s="447"/>
      <c r="O43" s="447"/>
      <c r="P43" s="447"/>
    </row>
    <row r="44" spans="1:16" ht="15">
      <c r="A44" s="925">
        <v>39</v>
      </c>
      <c r="B44" s="929" t="s">
        <v>724</v>
      </c>
      <c r="C44" s="927" t="s">
        <v>684</v>
      </c>
      <c r="D44" s="447">
        <v>2005</v>
      </c>
      <c r="E44" s="447">
        <v>10</v>
      </c>
      <c r="F44" s="928" t="s">
        <v>678</v>
      </c>
      <c r="G44" s="447">
        <v>17</v>
      </c>
      <c r="H44" s="447"/>
      <c r="I44" s="447"/>
      <c r="J44" s="447">
        <v>4617.67</v>
      </c>
      <c r="K44" s="448"/>
      <c r="L44" s="447"/>
      <c r="M44" s="447"/>
      <c r="N44" s="447"/>
      <c r="O44" s="447"/>
      <c r="P44" s="447"/>
    </row>
    <row r="45" spans="1:16" ht="15">
      <c r="A45" s="925">
        <v>40</v>
      </c>
      <c r="B45" s="929" t="s">
        <v>725</v>
      </c>
      <c r="C45" s="927" t="s">
        <v>696</v>
      </c>
      <c r="D45" s="447">
        <v>2000</v>
      </c>
      <c r="E45" s="447">
        <v>10</v>
      </c>
      <c r="F45" s="928" t="s">
        <v>678</v>
      </c>
      <c r="G45" s="447">
        <v>17.899999999999999</v>
      </c>
      <c r="H45" s="447"/>
      <c r="I45" s="447"/>
      <c r="J45" s="447">
        <v>0</v>
      </c>
      <c r="K45" s="448"/>
      <c r="L45" s="447"/>
      <c r="M45" s="447"/>
      <c r="N45" s="447"/>
      <c r="O45" s="447"/>
      <c r="P45" s="447"/>
    </row>
    <row r="46" spans="1:16" ht="15">
      <c r="A46" s="925">
        <v>41</v>
      </c>
      <c r="B46" s="929" t="s">
        <v>726</v>
      </c>
      <c r="C46" s="927" t="s">
        <v>696</v>
      </c>
      <c r="D46" s="447">
        <v>2001</v>
      </c>
      <c r="E46" s="447">
        <v>10</v>
      </c>
      <c r="F46" s="928" t="s">
        <v>678</v>
      </c>
      <c r="G46" s="447">
        <v>17.899999999999999</v>
      </c>
      <c r="H46" s="447"/>
      <c r="I46" s="447"/>
      <c r="J46" s="447">
        <v>0</v>
      </c>
      <c r="K46" s="448"/>
      <c r="L46" s="447"/>
      <c r="M46" s="447"/>
      <c r="N46" s="447"/>
      <c r="O46" s="447"/>
      <c r="P46" s="447"/>
    </row>
    <row r="47" spans="1:16" ht="15">
      <c r="A47" s="925">
        <v>42</v>
      </c>
      <c r="B47" s="929" t="s">
        <v>727</v>
      </c>
      <c r="C47" s="927" t="s">
        <v>696</v>
      </c>
      <c r="D47" s="447">
        <v>2000</v>
      </c>
      <c r="E47" s="447">
        <v>10</v>
      </c>
      <c r="F47" s="928" t="s">
        <v>678</v>
      </c>
      <c r="G47" s="447">
        <v>17.899999999999999</v>
      </c>
      <c r="H47" s="447"/>
      <c r="I47" s="447"/>
      <c r="J47" s="447">
        <v>0</v>
      </c>
      <c r="K47" s="448"/>
      <c r="L47" s="447"/>
      <c r="M47" s="447"/>
      <c r="N47" s="447"/>
      <c r="O47" s="447"/>
      <c r="P47" s="447"/>
    </row>
    <row r="48" spans="1:16" ht="15">
      <c r="A48" s="925">
        <v>43</v>
      </c>
      <c r="B48" s="929" t="s">
        <v>728</v>
      </c>
      <c r="C48" s="927" t="s">
        <v>696</v>
      </c>
      <c r="D48" s="447">
        <v>2001</v>
      </c>
      <c r="E48" s="447">
        <v>10</v>
      </c>
      <c r="F48" s="928" t="s">
        <v>678</v>
      </c>
      <c r="G48" s="447">
        <v>17.899999999999999</v>
      </c>
      <c r="H48" s="447"/>
      <c r="I48" s="447"/>
      <c r="J48" s="447">
        <v>0</v>
      </c>
      <c r="K48" s="448"/>
      <c r="L48" s="447"/>
      <c r="M48" s="447"/>
      <c r="N48" s="447"/>
      <c r="O48" s="447"/>
      <c r="P48" s="447"/>
    </row>
    <row r="49" spans="1:16" ht="15">
      <c r="A49" s="925">
        <v>44</v>
      </c>
      <c r="B49" s="929" t="s">
        <v>729</v>
      </c>
      <c r="C49" s="927" t="s">
        <v>696</v>
      </c>
      <c r="D49" s="447">
        <v>2001</v>
      </c>
      <c r="E49" s="447">
        <v>10</v>
      </c>
      <c r="F49" s="928" t="s">
        <v>678</v>
      </c>
      <c r="G49" s="447">
        <v>17.899999999999999</v>
      </c>
      <c r="H49" s="447"/>
      <c r="I49" s="447"/>
      <c r="J49" s="447">
        <v>0</v>
      </c>
      <c r="K49" s="448"/>
      <c r="L49" s="447"/>
      <c r="M49" s="447"/>
      <c r="N49" s="447"/>
      <c r="O49" s="447"/>
      <c r="P49" s="447"/>
    </row>
    <row r="50" spans="1:16" ht="15">
      <c r="A50" s="925">
        <v>45</v>
      </c>
      <c r="B50" s="929" t="s">
        <v>730</v>
      </c>
      <c r="C50" s="927" t="s">
        <v>696</v>
      </c>
      <c r="D50" s="447">
        <v>2001</v>
      </c>
      <c r="E50" s="447">
        <v>10</v>
      </c>
      <c r="F50" s="928" t="s">
        <v>678</v>
      </c>
      <c r="G50" s="447">
        <v>17.899999999999999</v>
      </c>
      <c r="H50" s="447"/>
      <c r="I50" s="447"/>
      <c r="J50" s="447">
        <v>0</v>
      </c>
      <c r="K50" s="448"/>
      <c r="L50" s="447"/>
      <c r="M50" s="447"/>
      <c r="N50" s="447"/>
      <c r="O50" s="447"/>
      <c r="P50" s="447"/>
    </row>
    <row r="51" spans="1:16" ht="15">
      <c r="A51" s="925">
        <v>46</v>
      </c>
      <c r="B51" s="929" t="s">
        <v>731</v>
      </c>
      <c r="C51" s="927" t="s">
        <v>696</v>
      </c>
      <c r="D51" s="447">
        <v>2002</v>
      </c>
      <c r="E51" s="447">
        <v>10</v>
      </c>
      <c r="F51" s="928" t="s">
        <v>678</v>
      </c>
      <c r="G51" s="447">
        <v>17.899999999999999</v>
      </c>
      <c r="H51" s="447"/>
      <c r="I51" s="447"/>
      <c r="J51" s="447">
        <v>0</v>
      </c>
      <c r="K51" s="448"/>
      <c r="L51" s="447"/>
      <c r="M51" s="447"/>
      <c r="N51" s="447"/>
      <c r="O51" s="447"/>
      <c r="P51" s="447"/>
    </row>
    <row r="52" spans="1:16" ht="15">
      <c r="A52" s="925">
        <v>47</v>
      </c>
      <c r="B52" s="929" t="s">
        <v>732</v>
      </c>
      <c r="C52" s="927" t="s">
        <v>733</v>
      </c>
      <c r="D52" s="447">
        <v>1992</v>
      </c>
      <c r="E52" s="447">
        <v>10</v>
      </c>
      <c r="F52" s="928" t="s">
        <v>678</v>
      </c>
      <c r="G52" s="447">
        <v>37</v>
      </c>
      <c r="H52" s="447"/>
      <c r="I52" s="447"/>
      <c r="J52" s="447">
        <v>0</v>
      </c>
      <c r="K52" s="448"/>
      <c r="L52" s="447"/>
      <c r="M52" s="447"/>
      <c r="N52" s="447"/>
      <c r="O52" s="447"/>
      <c r="P52" s="447"/>
    </row>
    <row r="53" spans="1:16" ht="15">
      <c r="A53" s="925">
        <v>48</v>
      </c>
      <c r="B53" s="929" t="s">
        <v>734</v>
      </c>
      <c r="C53" s="927" t="s">
        <v>735</v>
      </c>
      <c r="D53" s="447">
        <v>1992</v>
      </c>
      <c r="E53" s="447">
        <v>10</v>
      </c>
      <c r="F53" s="928" t="s">
        <v>678</v>
      </c>
      <c r="G53" s="447">
        <v>31</v>
      </c>
      <c r="H53" s="447"/>
      <c r="I53" s="447"/>
      <c r="J53" s="447">
        <v>0</v>
      </c>
      <c r="K53" s="448"/>
      <c r="L53" s="447"/>
      <c r="M53" s="447"/>
      <c r="N53" s="447"/>
      <c r="O53" s="447"/>
      <c r="P53" s="447"/>
    </row>
    <row r="54" spans="1:16" ht="15">
      <c r="A54" s="925">
        <v>49</v>
      </c>
      <c r="B54" s="929" t="s">
        <v>736</v>
      </c>
      <c r="C54" s="927" t="s">
        <v>735</v>
      </c>
      <c r="D54" s="447">
        <v>1990</v>
      </c>
      <c r="E54" s="447">
        <v>10</v>
      </c>
      <c r="F54" s="928" t="s">
        <v>678</v>
      </c>
      <c r="G54" s="447">
        <v>31</v>
      </c>
      <c r="H54" s="447"/>
      <c r="I54" s="447"/>
      <c r="J54" s="447">
        <v>0</v>
      </c>
      <c r="K54" s="448"/>
      <c r="L54" s="447"/>
      <c r="M54" s="447"/>
      <c r="N54" s="447"/>
      <c r="O54" s="447"/>
      <c r="P54" s="447"/>
    </row>
    <row r="55" spans="1:16" ht="15">
      <c r="A55" s="925">
        <v>50</v>
      </c>
      <c r="B55" s="929" t="s">
        <v>737</v>
      </c>
      <c r="C55" s="927" t="s">
        <v>735</v>
      </c>
      <c r="D55" s="447">
        <v>1975</v>
      </c>
      <c r="E55" s="447">
        <v>10</v>
      </c>
      <c r="F55" s="928" t="s">
        <v>678</v>
      </c>
      <c r="G55" s="447">
        <v>50</v>
      </c>
      <c r="H55" s="447"/>
      <c r="I55" s="447"/>
      <c r="J55" s="447">
        <v>0</v>
      </c>
      <c r="K55" s="448"/>
      <c r="L55" s="447"/>
      <c r="M55" s="447"/>
      <c r="N55" s="447"/>
      <c r="O55" s="447"/>
      <c r="P55" s="447"/>
    </row>
    <row r="56" spans="1:16" ht="15">
      <c r="A56" s="925">
        <v>51</v>
      </c>
      <c r="B56" s="929" t="s">
        <v>738</v>
      </c>
      <c r="C56" s="927" t="s">
        <v>735</v>
      </c>
      <c r="D56" s="447">
        <v>1999</v>
      </c>
      <c r="E56" s="447">
        <v>10</v>
      </c>
      <c r="F56" s="928" t="s">
        <v>678</v>
      </c>
      <c r="G56" s="447">
        <v>20.2</v>
      </c>
      <c r="H56" s="447"/>
      <c r="I56" s="447"/>
      <c r="J56" s="447">
        <v>0</v>
      </c>
      <c r="K56" s="448"/>
      <c r="L56" s="447"/>
      <c r="M56" s="447"/>
      <c r="N56" s="447"/>
      <c r="O56" s="447"/>
      <c r="P56" s="447"/>
    </row>
    <row r="57" spans="1:16" ht="15">
      <c r="A57" s="925">
        <v>52</v>
      </c>
      <c r="B57" s="929" t="s">
        <v>739</v>
      </c>
      <c r="C57" s="927" t="s">
        <v>735</v>
      </c>
      <c r="D57" s="447">
        <v>1988</v>
      </c>
      <c r="E57" s="447">
        <v>10</v>
      </c>
      <c r="F57" s="928" t="s">
        <v>678</v>
      </c>
      <c r="G57" s="447">
        <v>23</v>
      </c>
      <c r="H57" s="447"/>
      <c r="I57" s="447"/>
      <c r="J57" s="447">
        <v>0</v>
      </c>
      <c r="K57" s="448"/>
      <c r="L57" s="447"/>
      <c r="M57" s="447"/>
      <c r="N57" s="447"/>
      <c r="O57" s="447"/>
      <c r="P57" s="447"/>
    </row>
    <row r="58" spans="1:16" ht="15">
      <c r="A58" s="925">
        <v>53</v>
      </c>
      <c r="B58" s="929" t="s">
        <v>740</v>
      </c>
      <c r="C58" s="927" t="s">
        <v>735</v>
      </c>
      <c r="D58" s="447">
        <v>1991</v>
      </c>
      <c r="E58" s="447">
        <v>10</v>
      </c>
      <c r="F58" s="928" t="s">
        <v>678</v>
      </c>
      <c r="G58" s="447">
        <v>25</v>
      </c>
      <c r="H58" s="447"/>
      <c r="I58" s="447"/>
      <c r="J58" s="447">
        <v>0</v>
      </c>
      <c r="K58" s="448"/>
      <c r="L58" s="447"/>
      <c r="M58" s="447"/>
      <c r="N58" s="447"/>
      <c r="O58" s="447"/>
      <c r="P58" s="447"/>
    </row>
    <row r="59" spans="1:16" ht="15">
      <c r="A59" s="925">
        <v>54</v>
      </c>
      <c r="B59" s="929" t="s">
        <v>741</v>
      </c>
      <c r="C59" s="927" t="s">
        <v>742</v>
      </c>
      <c r="D59" s="447">
        <v>1991</v>
      </c>
      <c r="E59" s="447">
        <v>10</v>
      </c>
      <c r="F59" s="928" t="s">
        <v>678</v>
      </c>
      <c r="G59" s="447">
        <v>25</v>
      </c>
      <c r="H59" s="447"/>
      <c r="I59" s="447"/>
      <c r="J59" s="447">
        <v>0</v>
      </c>
      <c r="K59" s="448"/>
      <c r="L59" s="447"/>
      <c r="M59" s="447"/>
      <c r="N59" s="447"/>
      <c r="O59" s="447"/>
      <c r="P59" s="447"/>
    </row>
    <row r="60" spans="1:16" ht="15">
      <c r="A60" s="925">
        <v>55</v>
      </c>
      <c r="B60" s="929" t="s">
        <v>743</v>
      </c>
      <c r="C60" s="927" t="s">
        <v>742</v>
      </c>
      <c r="D60" s="447">
        <v>1992</v>
      </c>
      <c r="E60" s="447">
        <v>10</v>
      </c>
      <c r="F60" s="928" t="s">
        <v>678</v>
      </c>
      <c r="G60" s="447">
        <v>25</v>
      </c>
      <c r="H60" s="447"/>
      <c r="I60" s="447"/>
      <c r="J60" s="447">
        <v>0</v>
      </c>
      <c r="K60" s="448"/>
      <c r="L60" s="447"/>
      <c r="M60" s="447"/>
      <c r="N60" s="447"/>
      <c r="O60" s="447"/>
      <c r="P60" s="447"/>
    </row>
    <row r="61" spans="1:16" ht="15">
      <c r="A61" s="925">
        <v>56</v>
      </c>
      <c r="B61" s="929" t="s">
        <v>744</v>
      </c>
      <c r="C61" s="927" t="s">
        <v>677</v>
      </c>
      <c r="D61" s="447">
        <v>2003</v>
      </c>
      <c r="E61" s="447">
        <v>8</v>
      </c>
      <c r="F61" s="928" t="s">
        <v>678</v>
      </c>
      <c r="G61" s="447">
        <v>14.8</v>
      </c>
      <c r="H61" s="447"/>
      <c r="I61" s="447"/>
      <c r="J61" s="447">
        <v>0</v>
      </c>
      <c r="K61" s="448"/>
      <c r="L61" s="447"/>
      <c r="M61" s="447"/>
      <c r="N61" s="447"/>
      <c r="O61" s="447"/>
      <c r="P61" s="447"/>
    </row>
    <row r="62" spans="1:16" ht="15">
      <c r="A62" s="925">
        <v>57</v>
      </c>
      <c r="B62" s="929" t="s">
        <v>745</v>
      </c>
      <c r="C62" s="927" t="s">
        <v>677</v>
      </c>
      <c r="D62" s="447">
        <v>2003</v>
      </c>
      <c r="E62" s="447">
        <v>8</v>
      </c>
      <c r="F62" s="928" t="s">
        <v>678</v>
      </c>
      <c r="G62" s="447">
        <v>12.7</v>
      </c>
      <c r="H62" s="447"/>
      <c r="I62" s="447"/>
      <c r="J62" s="447">
        <v>0</v>
      </c>
      <c r="K62" s="448"/>
      <c r="L62" s="447"/>
      <c r="M62" s="447"/>
      <c r="N62" s="447"/>
      <c r="O62" s="447"/>
      <c r="P62" s="447"/>
    </row>
    <row r="63" spans="1:16" ht="15">
      <c r="A63" s="925">
        <v>58</v>
      </c>
      <c r="B63" s="929" t="s">
        <v>746</v>
      </c>
      <c r="C63" s="927" t="s">
        <v>677</v>
      </c>
      <c r="D63" s="447">
        <v>2004</v>
      </c>
      <c r="E63" s="447">
        <v>8</v>
      </c>
      <c r="F63" s="928" t="s">
        <v>678</v>
      </c>
      <c r="G63" s="447">
        <v>9.5</v>
      </c>
      <c r="H63" s="447"/>
      <c r="I63" s="447"/>
      <c r="J63" s="447">
        <v>0</v>
      </c>
      <c r="K63" s="448"/>
      <c r="L63" s="447"/>
      <c r="M63" s="447"/>
      <c r="N63" s="447"/>
      <c r="O63" s="447"/>
      <c r="P63" s="447"/>
    </row>
    <row r="64" spans="1:16" ht="15">
      <c r="A64" s="925">
        <v>59</v>
      </c>
      <c r="B64" s="929" t="s">
        <v>747</v>
      </c>
      <c r="C64" s="927" t="s">
        <v>677</v>
      </c>
      <c r="D64" s="447">
        <v>2004</v>
      </c>
      <c r="E64" s="447">
        <v>8</v>
      </c>
      <c r="F64" s="928" t="s">
        <v>678</v>
      </c>
      <c r="G64" s="447">
        <v>13.6</v>
      </c>
      <c r="H64" s="447"/>
      <c r="I64" s="447"/>
      <c r="J64" s="447">
        <v>0</v>
      </c>
      <c r="K64" s="448"/>
      <c r="L64" s="447"/>
      <c r="M64" s="447"/>
      <c r="N64" s="447"/>
      <c r="O64" s="447"/>
      <c r="P64" s="447"/>
    </row>
    <row r="65" spans="1:16" ht="15">
      <c r="A65" s="925">
        <v>60</v>
      </c>
      <c r="B65" s="929" t="s">
        <v>748</v>
      </c>
      <c r="C65" s="927" t="s">
        <v>677</v>
      </c>
      <c r="D65" s="447">
        <v>2000</v>
      </c>
      <c r="E65" s="447">
        <v>8</v>
      </c>
      <c r="F65" s="928" t="s">
        <v>678</v>
      </c>
      <c r="G65" s="447">
        <v>13.1</v>
      </c>
      <c r="H65" s="447"/>
      <c r="I65" s="447"/>
      <c r="J65" s="447">
        <v>0</v>
      </c>
      <c r="K65" s="448"/>
      <c r="L65" s="447"/>
      <c r="M65" s="447"/>
      <c r="N65" s="447"/>
      <c r="O65" s="447"/>
      <c r="P65" s="447"/>
    </row>
    <row r="66" spans="1:16" ht="15">
      <c r="A66" s="925">
        <v>61</v>
      </c>
      <c r="B66" s="929" t="s">
        <v>749</v>
      </c>
      <c r="C66" s="927" t="s">
        <v>677</v>
      </c>
      <c r="D66" s="447">
        <v>2000</v>
      </c>
      <c r="E66" s="447">
        <v>8</v>
      </c>
      <c r="F66" s="928" t="s">
        <v>678</v>
      </c>
      <c r="G66" s="447">
        <v>13.1</v>
      </c>
      <c r="H66" s="447"/>
      <c r="I66" s="447"/>
      <c r="J66" s="447">
        <v>0</v>
      </c>
      <c r="K66" s="448"/>
      <c r="L66" s="447"/>
      <c r="M66" s="447"/>
      <c r="N66" s="447"/>
      <c r="O66" s="447"/>
      <c r="P66" s="447"/>
    </row>
    <row r="67" spans="1:16" ht="15">
      <c r="A67" s="925">
        <v>62</v>
      </c>
      <c r="B67" s="929" t="s">
        <v>750</v>
      </c>
      <c r="C67" s="927" t="s">
        <v>677</v>
      </c>
      <c r="D67" s="447">
        <v>2004</v>
      </c>
      <c r="E67" s="447">
        <v>8</v>
      </c>
      <c r="F67" s="928" t="s">
        <v>678</v>
      </c>
      <c r="G67" s="447">
        <v>8.8000000000000007</v>
      </c>
      <c r="H67" s="447"/>
      <c r="I67" s="447"/>
      <c r="J67" s="447">
        <v>0</v>
      </c>
      <c r="K67" s="448"/>
      <c r="L67" s="447"/>
      <c r="M67" s="447"/>
      <c r="N67" s="447"/>
      <c r="O67" s="447"/>
      <c r="P67" s="447"/>
    </row>
    <row r="68" spans="1:16" ht="15">
      <c r="A68" s="925">
        <v>63</v>
      </c>
      <c r="B68" s="929" t="s">
        <v>751</v>
      </c>
      <c r="C68" s="927" t="s">
        <v>677</v>
      </c>
      <c r="D68" s="447">
        <v>2011</v>
      </c>
      <c r="E68" s="447">
        <v>8</v>
      </c>
      <c r="F68" s="928" t="s">
        <v>678</v>
      </c>
      <c r="G68" s="447">
        <v>8.8000000000000007</v>
      </c>
      <c r="H68" s="447"/>
      <c r="I68" s="447"/>
      <c r="J68" s="447">
        <v>49902.559999999998</v>
      </c>
      <c r="K68" s="448"/>
      <c r="L68" s="447"/>
      <c r="M68" s="447"/>
      <c r="N68" s="447"/>
      <c r="O68" s="447"/>
      <c r="P68" s="447"/>
    </row>
    <row r="69" spans="1:16" ht="26.25">
      <c r="A69" s="925">
        <v>64</v>
      </c>
      <c r="B69" s="929" t="s">
        <v>752</v>
      </c>
      <c r="C69" s="927" t="s">
        <v>753</v>
      </c>
      <c r="D69" s="447">
        <v>1990</v>
      </c>
      <c r="E69" s="447">
        <v>10</v>
      </c>
      <c r="F69" s="928" t="s">
        <v>678</v>
      </c>
      <c r="G69" s="447">
        <v>32.5</v>
      </c>
      <c r="H69" s="447"/>
      <c r="I69" s="447"/>
      <c r="J69" s="447">
        <v>0</v>
      </c>
      <c r="K69" s="933" t="s">
        <v>537</v>
      </c>
      <c r="L69" s="447" t="s">
        <v>538</v>
      </c>
      <c r="M69" s="447" t="s">
        <v>539</v>
      </c>
      <c r="N69" s="447">
        <v>408.13</v>
      </c>
      <c r="O69" s="447">
        <v>20</v>
      </c>
      <c r="P69" s="447">
        <v>3</v>
      </c>
    </row>
    <row r="70" spans="1:16" ht="15">
      <c r="A70" s="925">
        <v>65</v>
      </c>
      <c r="B70" s="929" t="s">
        <v>754</v>
      </c>
      <c r="C70" s="927" t="s">
        <v>755</v>
      </c>
      <c r="D70" s="447">
        <v>1998</v>
      </c>
      <c r="E70" s="447">
        <v>10</v>
      </c>
      <c r="F70" s="928" t="s">
        <v>678</v>
      </c>
      <c r="G70" s="447">
        <v>51</v>
      </c>
      <c r="H70" s="447"/>
      <c r="I70" s="447"/>
      <c r="J70" s="447">
        <v>0</v>
      </c>
      <c r="K70" s="448"/>
      <c r="L70" s="447"/>
      <c r="M70" s="447"/>
      <c r="N70" s="447"/>
      <c r="O70" s="447"/>
      <c r="P70" s="447"/>
    </row>
    <row r="71" spans="1:16" ht="15">
      <c r="A71" s="925">
        <v>66</v>
      </c>
      <c r="B71" s="929" t="s">
        <v>756</v>
      </c>
      <c r="C71" s="927" t="s">
        <v>757</v>
      </c>
      <c r="D71" s="447">
        <v>2006</v>
      </c>
      <c r="E71" s="447">
        <v>10</v>
      </c>
      <c r="F71" s="928" t="s">
        <v>678</v>
      </c>
      <c r="G71" s="447">
        <v>47.8</v>
      </c>
      <c r="H71" s="447"/>
      <c r="I71" s="447"/>
      <c r="J71" s="447">
        <v>263292.95</v>
      </c>
      <c r="K71" s="448"/>
      <c r="L71" s="447"/>
      <c r="M71" s="447"/>
      <c r="N71" s="447"/>
      <c r="O71" s="447"/>
      <c r="P71" s="447"/>
    </row>
    <row r="72" spans="1:16" ht="15">
      <c r="A72" s="925">
        <v>67</v>
      </c>
      <c r="B72" s="929" t="s">
        <v>758</v>
      </c>
      <c r="C72" s="927" t="s">
        <v>759</v>
      </c>
      <c r="D72" s="447">
        <v>1993</v>
      </c>
      <c r="E72" s="447">
        <v>10</v>
      </c>
      <c r="F72" s="928" t="s">
        <v>678</v>
      </c>
      <c r="G72" s="447">
        <v>60</v>
      </c>
      <c r="H72" s="447"/>
      <c r="I72" s="447"/>
      <c r="J72" s="450" t="s">
        <v>760</v>
      </c>
      <c r="K72" s="448"/>
      <c r="L72" s="447"/>
      <c r="M72" s="447"/>
      <c r="N72" s="447"/>
      <c r="O72" s="447"/>
      <c r="P72" s="447"/>
    </row>
    <row r="73" spans="1:16" ht="15">
      <c r="A73" s="925">
        <v>68</v>
      </c>
      <c r="B73" s="929" t="s">
        <v>761</v>
      </c>
      <c r="C73" s="927" t="s">
        <v>762</v>
      </c>
      <c r="D73" s="447">
        <v>1982</v>
      </c>
      <c r="E73" s="447">
        <v>10</v>
      </c>
      <c r="F73" s="928" t="s">
        <v>678</v>
      </c>
      <c r="G73" s="447">
        <v>56.5</v>
      </c>
      <c r="H73" s="447"/>
      <c r="I73" s="447"/>
      <c r="J73" s="447">
        <v>0</v>
      </c>
      <c r="K73" s="448"/>
      <c r="L73" s="447"/>
      <c r="M73" s="447"/>
      <c r="N73" s="447"/>
      <c r="O73" s="447"/>
      <c r="P73" s="447"/>
    </row>
    <row r="74" spans="1:16" ht="15">
      <c r="A74" s="925">
        <v>69</v>
      </c>
      <c r="B74" s="929" t="s">
        <v>763</v>
      </c>
      <c r="C74" s="927" t="s">
        <v>764</v>
      </c>
      <c r="D74" s="447">
        <v>1990</v>
      </c>
      <c r="E74" s="447">
        <v>10</v>
      </c>
      <c r="F74" s="928" t="s">
        <v>678</v>
      </c>
      <c r="G74" s="447">
        <v>0</v>
      </c>
      <c r="H74" s="447"/>
      <c r="I74" s="447"/>
      <c r="J74" s="450">
        <v>0</v>
      </c>
      <c r="K74" s="448"/>
      <c r="L74" s="447"/>
      <c r="M74" s="447"/>
      <c r="N74" s="447"/>
      <c r="O74" s="447"/>
      <c r="P74" s="447"/>
    </row>
    <row r="75" spans="1:16" ht="15">
      <c r="A75" s="925">
        <v>70</v>
      </c>
      <c r="B75" s="929" t="s">
        <v>765</v>
      </c>
      <c r="C75" s="927" t="s">
        <v>764</v>
      </c>
      <c r="D75" s="447">
        <v>1990</v>
      </c>
      <c r="E75" s="447">
        <v>10</v>
      </c>
      <c r="F75" s="928" t="s">
        <v>678</v>
      </c>
      <c r="G75" s="447">
        <v>0</v>
      </c>
      <c r="H75" s="447"/>
      <c r="I75" s="447"/>
      <c r="J75" s="447">
        <v>0</v>
      </c>
      <c r="K75" s="448"/>
      <c r="L75" s="447"/>
      <c r="M75" s="447"/>
      <c r="N75" s="447"/>
      <c r="O75" s="447"/>
      <c r="P75" s="447"/>
    </row>
    <row r="76" spans="1:16" ht="15">
      <c r="A76" s="925">
        <v>71</v>
      </c>
      <c r="B76" s="929" t="s">
        <v>766</v>
      </c>
      <c r="C76" s="927" t="s">
        <v>767</v>
      </c>
      <c r="D76" s="447">
        <v>1983</v>
      </c>
      <c r="E76" s="447">
        <v>10</v>
      </c>
      <c r="F76" s="928" t="s">
        <v>678</v>
      </c>
      <c r="G76" s="447">
        <v>0</v>
      </c>
      <c r="H76" s="447"/>
      <c r="I76" s="447"/>
      <c r="J76" s="447">
        <v>0</v>
      </c>
      <c r="K76" s="448"/>
      <c r="L76" s="447"/>
      <c r="M76" s="447"/>
      <c r="N76" s="447"/>
      <c r="O76" s="447"/>
      <c r="P76" s="447"/>
    </row>
    <row r="77" spans="1:16" ht="15">
      <c r="A77" s="925">
        <v>72</v>
      </c>
      <c r="B77" s="929" t="s">
        <v>768</v>
      </c>
      <c r="C77" s="927" t="s">
        <v>769</v>
      </c>
      <c r="D77" s="447">
        <v>2003</v>
      </c>
      <c r="E77" s="447">
        <v>10</v>
      </c>
      <c r="F77" s="928" t="s">
        <v>678</v>
      </c>
      <c r="G77" s="447">
        <v>0</v>
      </c>
      <c r="H77" s="447"/>
      <c r="I77" s="447"/>
      <c r="J77" s="447">
        <v>0</v>
      </c>
      <c r="K77" s="448"/>
      <c r="L77" s="447"/>
      <c r="M77" s="447"/>
      <c r="N77" s="447"/>
      <c r="O77" s="447"/>
      <c r="P77" s="447"/>
    </row>
    <row r="78" spans="1:16" ht="15">
      <c r="A78" s="925">
        <v>73</v>
      </c>
      <c r="B78" s="929" t="s">
        <v>770</v>
      </c>
      <c r="C78" s="927" t="s">
        <v>769</v>
      </c>
      <c r="D78" s="447">
        <v>2004</v>
      </c>
      <c r="E78" s="447">
        <v>10</v>
      </c>
      <c r="F78" s="928" t="s">
        <v>678</v>
      </c>
      <c r="G78" s="447">
        <v>0</v>
      </c>
      <c r="H78" s="447"/>
      <c r="I78" s="447"/>
      <c r="J78" s="447">
        <v>0</v>
      </c>
      <c r="K78" s="448"/>
      <c r="L78" s="447"/>
      <c r="M78" s="447"/>
      <c r="N78" s="447"/>
      <c r="O78" s="447"/>
      <c r="P78" s="447"/>
    </row>
    <row r="79" spans="1:16" ht="15">
      <c r="A79" s="925">
        <v>74</v>
      </c>
      <c r="B79" s="929" t="s">
        <v>771</v>
      </c>
      <c r="C79" s="927" t="s">
        <v>772</v>
      </c>
      <c r="D79" s="447">
        <v>1986</v>
      </c>
      <c r="E79" s="447">
        <v>10</v>
      </c>
      <c r="F79" s="928" t="s">
        <v>678</v>
      </c>
      <c r="G79" s="447">
        <v>0</v>
      </c>
      <c r="H79" s="447"/>
      <c r="I79" s="447"/>
      <c r="J79" s="447">
        <v>0</v>
      </c>
      <c r="K79" s="448"/>
      <c r="L79" s="447"/>
      <c r="M79" s="447"/>
      <c r="N79" s="447"/>
      <c r="O79" s="447"/>
      <c r="P79" s="447"/>
    </row>
    <row r="80" spans="1:16" ht="15">
      <c r="A80" s="925">
        <v>75</v>
      </c>
      <c r="B80" s="929" t="s">
        <v>773</v>
      </c>
      <c r="C80" s="927" t="s">
        <v>774</v>
      </c>
      <c r="D80" s="447">
        <v>1986</v>
      </c>
      <c r="E80" s="447">
        <v>10</v>
      </c>
      <c r="F80" s="928" t="s">
        <v>678</v>
      </c>
      <c r="G80" s="447">
        <v>6</v>
      </c>
      <c r="H80" s="447"/>
      <c r="I80" s="447"/>
      <c r="J80" s="447">
        <v>0</v>
      </c>
      <c r="K80" s="448"/>
      <c r="L80" s="447"/>
      <c r="M80" s="447"/>
      <c r="N80" s="447"/>
      <c r="O80" s="447"/>
      <c r="P80" s="447"/>
    </row>
    <row r="81" spans="1:16" ht="15">
      <c r="A81" s="925">
        <v>76</v>
      </c>
      <c r="B81" s="929" t="s">
        <v>775</v>
      </c>
      <c r="C81" s="927" t="s">
        <v>774</v>
      </c>
      <c r="D81" s="447">
        <v>1990</v>
      </c>
      <c r="E81" s="447">
        <v>10</v>
      </c>
      <c r="F81" s="928" t="s">
        <v>678</v>
      </c>
      <c r="G81" s="447">
        <v>6</v>
      </c>
      <c r="H81" s="447"/>
      <c r="I81" s="447"/>
      <c r="J81" s="447">
        <v>0</v>
      </c>
      <c r="K81" s="448"/>
      <c r="L81" s="447"/>
      <c r="M81" s="447"/>
      <c r="N81" s="447"/>
      <c r="O81" s="447"/>
      <c r="P81" s="447"/>
    </row>
    <row r="82" spans="1:16" ht="15">
      <c r="A82" s="925">
        <v>77</v>
      </c>
      <c r="B82" s="929" t="s">
        <v>776</v>
      </c>
      <c r="C82" s="927" t="s">
        <v>777</v>
      </c>
      <c r="D82" s="447">
        <v>2008</v>
      </c>
      <c r="E82" s="447">
        <v>10</v>
      </c>
      <c r="F82" s="928" t="s">
        <v>678</v>
      </c>
      <c r="G82" s="447">
        <v>11</v>
      </c>
      <c r="H82" s="447"/>
      <c r="I82" s="447"/>
      <c r="J82" s="447">
        <v>21998.7</v>
      </c>
      <c r="K82" s="448"/>
      <c r="L82" s="447"/>
      <c r="M82" s="447"/>
      <c r="N82" s="447"/>
      <c r="O82" s="447"/>
      <c r="P82" s="447"/>
    </row>
    <row r="83" spans="1:16" ht="15">
      <c r="A83" s="925">
        <v>78</v>
      </c>
      <c r="B83" s="929" t="s">
        <v>778</v>
      </c>
      <c r="C83" s="927" t="s">
        <v>779</v>
      </c>
      <c r="D83" s="447">
        <v>2008</v>
      </c>
      <c r="E83" s="447">
        <v>10</v>
      </c>
      <c r="F83" s="928" t="s">
        <v>678</v>
      </c>
      <c r="G83" s="447">
        <v>17</v>
      </c>
      <c r="H83" s="447"/>
      <c r="I83" s="447"/>
      <c r="J83" s="447">
        <v>35374.93</v>
      </c>
      <c r="K83" s="448"/>
      <c r="L83" s="447"/>
      <c r="M83" s="447"/>
      <c r="N83" s="447"/>
      <c r="O83" s="447"/>
      <c r="P83" s="447"/>
    </row>
    <row r="84" spans="1:16" ht="15">
      <c r="A84" s="925">
        <v>79</v>
      </c>
      <c r="B84" s="929" t="s">
        <v>780</v>
      </c>
      <c r="C84" s="927" t="s">
        <v>781</v>
      </c>
      <c r="D84" s="447">
        <v>2008</v>
      </c>
      <c r="E84" s="447">
        <v>10</v>
      </c>
      <c r="F84" s="928" t="s">
        <v>678</v>
      </c>
      <c r="G84" s="447">
        <v>18.100000000000001</v>
      </c>
      <c r="H84" s="447"/>
      <c r="I84" s="447"/>
      <c r="J84" s="447">
        <v>179696.05</v>
      </c>
      <c r="K84" s="448"/>
      <c r="L84" s="447"/>
      <c r="M84" s="447"/>
      <c r="N84" s="447"/>
      <c r="O84" s="447"/>
      <c r="P84" s="447"/>
    </row>
    <row r="85" spans="1:16" ht="15">
      <c r="A85" s="925">
        <v>80</v>
      </c>
      <c r="B85" s="929" t="s">
        <v>782</v>
      </c>
      <c r="C85" s="927" t="s">
        <v>781</v>
      </c>
      <c r="D85" s="447">
        <v>2006</v>
      </c>
      <c r="E85" s="447">
        <v>10</v>
      </c>
      <c r="F85" s="928" t="s">
        <v>678</v>
      </c>
      <c r="G85" s="447">
        <v>18.399999999999999</v>
      </c>
      <c r="H85" s="447"/>
      <c r="I85" s="447"/>
      <c r="J85" s="447">
        <v>183850.45</v>
      </c>
      <c r="K85" s="448"/>
      <c r="L85" s="447"/>
      <c r="M85" s="447"/>
      <c r="N85" s="447"/>
      <c r="O85" s="447"/>
      <c r="P85" s="447"/>
    </row>
    <row r="86" spans="1:16" ht="15">
      <c r="A86" s="925">
        <v>81</v>
      </c>
      <c r="B86" s="929" t="s">
        <v>783</v>
      </c>
      <c r="C86" s="927" t="s">
        <v>784</v>
      </c>
      <c r="D86" s="447">
        <v>2008</v>
      </c>
      <c r="E86" s="447">
        <v>10</v>
      </c>
      <c r="F86" s="928" t="s">
        <v>678</v>
      </c>
      <c r="G86" s="447">
        <v>21.6</v>
      </c>
      <c r="H86" s="447"/>
      <c r="I86" s="447"/>
      <c r="J86" s="447">
        <v>79113.16</v>
      </c>
      <c r="K86" s="448"/>
      <c r="L86" s="447"/>
      <c r="M86" s="447"/>
      <c r="N86" s="447"/>
      <c r="O86" s="447"/>
      <c r="P86" s="447"/>
    </row>
    <row r="87" spans="1:16" ht="15">
      <c r="A87" s="925">
        <v>82</v>
      </c>
      <c r="B87" s="929" t="s">
        <v>785</v>
      </c>
      <c r="C87" s="927" t="s">
        <v>786</v>
      </c>
      <c r="D87" s="447">
        <v>2008</v>
      </c>
      <c r="E87" s="447">
        <v>8</v>
      </c>
      <c r="F87" s="928" t="s">
        <v>678</v>
      </c>
      <c r="G87" s="447">
        <v>13.6</v>
      </c>
      <c r="H87" s="447"/>
      <c r="I87" s="447"/>
      <c r="J87" s="447">
        <v>128745.36</v>
      </c>
      <c r="K87" s="448"/>
      <c r="L87" s="447"/>
      <c r="M87" s="447"/>
      <c r="N87" s="447"/>
      <c r="O87" s="447"/>
      <c r="P87" s="447"/>
    </row>
    <row r="88" spans="1:16" ht="15">
      <c r="A88" s="925">
        <v>83</v>
      </c>
      <c r="B88" s="929" t="s">
        <v>787</v>
      </c>
      <c r="C88" s="927" t="s">
        <v>786</v>
      </c>
      <c r="D88" s="447">
        <v>2008</v>
      </c>
      <c r="E88" s="447">
        <v>8</v>
      </c>
      <c r="F88" s="928" t="s">
        <v>678</v>
      </c>
      <c r="G88" s="447">
        <v>12.8</v>
      </c>
      <c r="H88" s="447"/>
      <c r="I88" s="447"/>
      <c r="J88" s="447">
        <v>34393.019999999997</v>
      </c>
      <c r="K88" s="448"/>
      <c r="L88" s="447"/>
      <c r="M88" s="447"/>
      <c r="N88" s="447"/>
      <c r="O88" s="447"/>
      <c r="P88" s="447"/>
    </row>
    <row r="89" spans="1:16" ht="15">
      <c r="A89" s="925">
        <v>84</v>
      </c>
      <c r="B89" s="929" t="s">
        <v>788</v>
      </c>
      <c r="C89" s="927" t="s">
        <v>786</v>
      </c>
      <c r="D89" s="447">
        <v>2008</v>
      </c>
      <c r="E89" s="447">
        <v>8</v>
      </c>
      <c r="F89" s="928" t="s">
        <v>678</v>
      </c>
      <c r="G89" s="447">
        <v>12.8</v>
      </c>
      <c r="H89" s="447"/>
      <c r="I89" s="447"/>
      <c r="J89" s="447">
        <v>34408.43</v>
      </c>
      <c r="K89" s="448"/>
      <c r="L89" s="447"/>
      <c r="M89" s="447"/>
      <c r="N89" s="447"/>
      <c r="O89" s="447"/>
      <c r="P89" s="447"/>
    </row>
    <row r="90" spans="1:16" ht="15">
      <c r="A90" s="925">
        <v>85</v>
      </c>
      <c r="B90" s="929" t="s">
        <v>789</v>
      </c>
      <c r="C90" s="927" t="s">
        <v>779</v>
      </c>
      <c r="D90" s="447">
        <v>2007</v>
      </c>
      <c r="E90" s="447">
        <v>10</v>
      </c>
      <c r="F90" s="928" t="s">
        <v>678</v>
      </c>
      <c r="G90" s="447">
        <v>17</v>
      </c>
      <c r="H90" s="447"/>
      <c r="I90" s="447"/>
      <c r="J90" s="447">
        <v>25778.720000000001</v>
      </c>
      <c r="K90" s="448"/>
      <c r="L90" s="447"/>
      <c r="M90" s="447"/>
      <c r="N90" s="447"/>
      <c r="O90" s="447"/>
      <c r="P90" s="447"/>
    </row>
    <row r="91" spans="1:16" ht="15">
      <c r="A91" s="925">
        <v>86</v>
      </c>
      <c r="B91" s="929" t="s">
        <v>790</v>
      </c>
      <c r="C91" s="927" t="s">
        <v>779</v>
      </c>
      <c r="D91" s="447">
        <v>2007</v>
      </c>
      <c r="E91" s="447">
        <v>10</v>
      </c>
      <c r="F91" s="928" t="s">
        <v>678</v>
      </c>
      <c r="G91" s="447">
        <v>17</v>
      </c>
      <c r="H91" s="447"/>
      <c r="I91" s="447"/>
      <c r="J91" s="447">
        <v>25778.47</v>
      </c>
      <c r="K91" s="448"/>
      <c r="L91" s="447"/>
      <c r="M91" s="447"/>
      <c r="N91" s="447"/>
      <c r="O91" s="447"/>
      <c r="P91" s="447"/>
    </row>
    <row r="92" spans="1:16" ht="15">
      <c r="A92" s="925">
        <v>87</v>
      </c>
      <c r="B92" s="929" t="s">
        <v>791</v>
      </c>
      <c r="C92" s="927" t="s">
        <v>779</v>
      </c>
      <c r="D92" s="447">
        <v>2007</v>
      </c>
      <c r="E92" s="447">
        <v>10</v>
      </c>
      <c r="F92" s="928" t="s">
        <v>678</v>
      </c>
      <c r="G92" s="447">
        <v>17</v>
      </c>
      <c r="H92" s="447"/>
      <c r="I92" s="447"/>
      <c r="J92" s="447">
        <v>25778.720000000001</v>
      </c>
      <c r="K92" s="448"/>
      <c r="L92" s="447"/>
      <c r="M92" s="447"/>
      <c r="N92" s="447"/>
      <c r="O92" s="447"/>
      <c r="P92" s="447"/>
    </row>
    <row r="93" spans="1:16" ht="15">
      <c r="A93" s="925">
        <v>88</v>
      </c>
      <c r="B93" s="929" t="s">
        <v>792</v>
      </c>
      <c r="C93" s="927" t="s">
        <v>779</v>
      </c>
      <c r="D93" s="447">
        <v>2007</v>
      </c>
      <c r="E93" s="447">
        <v>10</v>
      </c>
      <c r="F93" s="928" t="s">
        <v>678</v>
      </c>
      <c r="G93" s="447">
        <v>17</v>
      </c>
      <c r="H93" s="447"/>
      <c r="I93" s="447"/>
      <c r="J93" s="447">
        <v>25778.720000000001</v>
      </c>
      <c r="K93" s="448"/>
      <c r="L93" s="447"/>
      <c r="M93" s="447"/>
      <c r="N93" s="447"/>
      <c r="O93" s="447"/>
      <c r="P93" s="447"/>
    </row>
    <row r="94" spans="1:16" ht="15">
      <c r="A94" s="925">
        <v>89</v>
      </c>
      <c r="B94" s="929" t="s">
        <v>793</v>
      </c>
      <c r="C94" s="927" t="s">
        <v>779</v>
      </c>
      <c r="D94" s="447">
        <v>2007</v>
      </c>
      <c r="E94" s="447">
        <v>10</v>
      </c>
      <c r="F94" s="928" t="s">
        <v>678</v>
      </c>
      <c r="G94" s="447">
        <v>18.100000000000001</v>
      </c>
      <c r="H94" s="447"/>
      <c r="I94" s="447"/>
      <c r="J94" s="447">
        <v>31859.29</v>
      </c>
      <c r="K94" s="448"/>
      <c r="L94" s="447"/>
      <c r="M94" s="447"/>
      <c r="N94" s="447"/>
      <c r="O94" s="447"/>
      <c r="P94" s="447"/>
    </row>
    <row r="95" spans="1:16" ht="15">
      <c r="A95" s="925">
        <v>90</v>
      </c>
      <c r="B95" s="929" t="s">
        <v>794</v>
      </c>
      <c r="C95" s="927" t="s">
        <v>680</v>
      </c>
      <c r="D95" s="447">
        <v>2007</v>
      </c>
      <c r="E95" s="447">
        <v>8</v>
      </c>
      <c r="F95" s="928" t="s">
        <v>678</v>
      </c>
      <c r="G95" s="447">
        <v>11.5</v>
      </c>
      <c r="H95" s="447"/>
      <c r="I95" s="447"/>
      <c r="J95" s="447">
        <v>15461.45</v>
      </c>
      <c r="K95" s="448"/>
      <c r="L95" s="447"/>
      <c r="M95" s="447"/>
      <c r="N95" s="447"/>
      <c r="O95" s="447"/>
      <c r="P95" s="447"/>
    </row>
    <row r="96" spans="1:16" ht="15">
      <c r="A96" s="925">
        <v>91</v>
      </c>
      <c r="B96" s="929" t="s">
        <v>795</v>
      </c>
      <c r="C96" s="927" t="s">
        <v>680</v>
      </c>
      <c r="D96" s="447">
        <v>2007</v>
      </c>
      <c r="E96" s="447">
        <v>8</v>
      </c>
      <c r="F96" s="928" t="s">
        <v>678</v>
      </c>
      <c r="G96" s="447">
        <v>11.5</v>
      </c>
      <c r="H96" s="447"/>
      <c r="I96" s="447"/>
      <c r="J96" s="447">
        <v>15457.72</v>
      </c>
      <c r="K96" s="448"/>
      <c r="L96" s="447"/>
      <c r="M96" s="447"/>
      <c r="N96" s="447"/>
      <c r="O96" s="447"/>
      <c r="P96" s="447"/>
    </row>
    <row r="97" spans="1:16" ht="15">
      <c r="A97" s="925">
        <v>92</v>
      </c>
      <c r="B97" s="929" t="s">
        <v>796</v>
      </c>
      <c r="C97" s="927" t="s">
        <v>680</v>
      </c>
      <c r="D97" s="447">
        <v>2007</v>
      </c>
      <c r="E97" s="447">
        <v>8</v>
      </c>
      <c r="F97" s="928" t="s">
        <v>678</v>
      </c>
      <c r="G97" s="447">
        <v>8.4</v>
      </c>
      <c r="H97" s="447"/>
      <c r="I97" s="447"/>
      <c r="J97" s="447">
        <v>12051.91</v>
      </c>
      <c r="K97" s="448"/>
      <c r="L97" s="447"/>
      <c r="M97" s="447"/>
      <c r="N97" s="447"/>
      <c r="O97" s="447"/>
      <c r="P97" s="447"/>
    </row>
    <row r="98" spans="1:16" ht="15">
      <c r="A98" s="925">
        <v>93</v>
      </c>
      <c r="B98" s="929" t="s">
        <v>797</v>
      </c>
      <c r="C98" s="927" t="s">
        <v>784</v>
      </c>
      <c r="D98" s="447">
        <v>2008</v>
      </c>
      <c r="E98" s="447">
        <v>8</v>
      </c>
      <c r="F98" s="928" t="s">
        <v>678</v>
      </c>
      <c r="G98" s="447">
        <v>11</v>
      </c>
      <c r="H98" s="447"/>
      <c r="I98" s="447"/>
      <c r="J98" s="447">
        <v>44727.07</v>
      </c>
      <c r="K98" s="448"/>
      <c r="L98" s="447"/>
      <c r="M98" s="447"/>
      <c r="N98" s="447"/>
      <c r="O98" s="447"/>
      <c r="P98" s="447"/>
    </row>
    <row r="99" spans="1:16" ht="15">
      <c r="A99" s="925">
        <v>94</v>
      </c>
      <c r="B99" s="929" t="s">
        <v>798</v>
      </c>
      <c r="C99" s="927" t="s">
        <v>735</v>
      </c>
      <c r="D99" s="447">
        <v>2008</v>
      </c>
      <c r="E99" s="447">
        <v>10</v>
      </c>
      <c r="F99" s="928" t="s">
        <v>678</v>
      </c>
      <c r="G99" s="447">
        <v>17.899999999999999</v>
      </c>
      <c r="H99" s="447"/>
      <c r="I99" s="447"/>
      <c r="J99" s="447">
        <v>61872.88</v>
      </c>
      <c r="K99" s="448"/>
      <c r="L99" s="447"/>
      <c r="M99" s="447"/>
      <c r="N99" s="447"/>
      <c r="O99" s="447"/>
      <c r="P99" s="447"/>
    </row>
    <row r="100" spans="1:16" ht="15">
      <c r="A100" s="925">
        <v>95</v>
      </c>
      <c r="B100" s="929" t="s">
        <v>799</v>
      </c>
      <c r="C100" s="927" t="s">
        <v>784</v>
      </c>
      <c r="D100" s="447">
        <v>2008</v>
      </c>
      <c r="E100" s="447">
        <v>10</v>
      </c>
      <c r="F100" s="928" t="s">
        <v>678</v>
      </c>
      <c r="G100" s="447">
        <v>21.8</v>
      </c>
      <c r="H100" s="447"/>
      <c r="I100" s="447"/>
      <c r="J100" s="447">
        <v>194427.83</v>
      </c>
      <c r="K100" s="448"/>
      <c r="L100" s="447"/>
      <c r="M100" s="447"/>
      <c r="N100" s="447"/>
      <c r="O100" s="447"/>
      <c r="P100" s="447"/>
    </row>
    <row r="101" spans="1:16" ht="15">
      <c r="A101" s="925">
        <v>96</v>
      </c>
      <c r="B101" s="929" t="s">
        <v>800</v>
      </c>
      <c r="C101" s="927" t="s">
        <v>784</v>
      </c>
      <c r="D101" s="447">
        <v>2008</v>
      </c>
      <c r="E101" s="447">
        <v>10</v>
      </c>
      <c r="F101" s="928" t="s">
        <v>678</v>
      </c>
      <c r="G101" s="447">
        <v>21.6</v>
      </c>
      <c r="H101" s="447"/>
      <c r="I101" s="447"/>
      <c r="J101" s="447">
        <v>285325.36</v>
      </c>
      <c r="K101" s="448"/>
      <c r="L101" s="447"/>
      <c r="M101" s="447"/>
      <c r="N101" s="447"/>
      <c r="O101" s="447"/>
      <c r="P101" s="447"/>
    </row>
    <row r="102" spans="1:16" ht="15">
      <c r="A102" s="925">
        <v>97</v>
      </c>
      <c r="B102" s="929" t="s">
        <v>801</v>
      </c>
      <c r="C102" s="927" t="s">
        <v>777</v>
      </c>
      <c r="D102" s="447">
        <v>2009</v>
      </c>
      <c r="E102" s="447">
        <v>10</v>
      </c>
      <c r="F102" s="928" t="s">
        <v>678</v>
      </c>
      <c r="G102" s="447">
        <v>11</v>
      </c>
      <c r="H102" s="447"/>
      <c r="I102" s="447"/>
      <c r="J102" s="447">
        <v>50976.82</v>
      </c>
      <c r="K102" s="448"/>
      <c r="L102" s="447"/>
      <c r="M102" s="447"/>
      <c r="N102" s="447"/>
      <c r="O102" s="447"/>
      <c r="P102" s="447"/>
    </row>
    <row r="103" spans="1:16" ht="15">
      <c r="A103" s="925">
        <v>98</v>
      </c>
      <c r="B103" s="929" t="s">
        <v>802</v>
      </c>
      <c r="C103" s="927" t="s">
        <v>779</v>
      </c>
      <c r="D103" s="447">
        <v>2009</v>
      </c>
      <c r="E103" s="447">
        <v>10</v>
      </c>
      <c r="F103" s="928" t="s">
        <v>678</v>
      </c>
      <c r="G103" s="447">
        <v>17</v>
      </c>
      <c r="H103" s="447"/>
      <c r="I103" s="447"/>
      <c r="J103" s="447">
        <v>69368.34</v>
      </c>
      <c r="K103" s="448"/>
      <c r="L103" s="447"/>
      <c r="M103" s="447"/>
      <c r="N103" s="447"/>
      <c r="O103" s="447"/>
      <c r="P103" s="447"/>
    </row>
    <row r="104" spans="1:16" ht="15">
      <c r="A104" s="925">
        <v>99</v>
      </c>
      <c r="B104" s="929" t="s">
        <v>803</v>
      </c>
      <c r="C104" s="927" t="s">
        <v>804</v>
      </c>
      <c r="D104" s="447">
        <v>2010</v>
      </c>
      <c r="E104" s="447">
        <v>10</v>
      </c>
      <c r="F104" s="928" t="s">
        <v>678</v>
      </c>
      <c r="G104" s="447">
        <v>20.100000000000001</v>
      </c>
      <c r="H104" s="447"/>
      <c r="I104" s="447"/>
      <c r="J104" s="447">
        <v>536709.98</v>
      </c>
      <c r="K104" s="448"/>
      <c r="L104" s="447"/>
      <c r="M104" s="447"/>
      <c r="N104" s="447"/>
      <c r="O104" s="447"/>
      <c r="P104" s="447"/>
    </row>
    <row r="105" spans="1:16" ht="15">
      <c r="A105" s="925">
        <v>100</v>
      </c>
      <c r="B105" s="929" t="s">
        <v>805</v>
      </c>
      <c r="C105" s="927" t="s">
        <v>735</v>
      </c>
      <c r="D105" s="447">
        <v>2011</v>
      </c>
      <c r="E105" s="447">
        <v>10</v>
      </c>
      <c r="F105" s="928" t="s">
        <v>678</v>
      </c>
      <c r="G105" s="447">
        <v>17.899999999999999</v>
      </c>
      <c r="H105" s="447"/>
      <c r="I105" s="447"/>
      <c r="J105" s="447">
        <v>0</v>
      </c>
      <c r="K105" s="448"/>
      <c r="L105" s="447"/>
      <c r="M105" s="447"/>
      <c r="N105" s="447"/>
      <c r="O105" s="447"/>
      <c r="P105" s="447"/>
    </row>
    <row r="106" spans="1:16" ht="15">
      <c r="A106" s="925">
        <v>101</v>
      </c>
      <c r="B106" s="929" t="s">
        <v>806</v>
      </c>
      <c r="C106" s="927" t="s">
        <v>680</v>
      </c>
      <c r="D106" s="447">
        <v>2011</v>
      </c>
      <c r="E106" s="447">
        <v>8</v>
      </c>
      <c r="F106" s="928" t="s">
        <v>678</v>
      </c>
      <c r="G106" s="447">
        <v>11.5</v>
      </c>
      <c r="H106" s="447"/>
      <c r="I106" s="447"/>
      <c r="J106" s="447">
        <v>0</v>
      </c>
      <c r="K106" s="448"/>
      <c r="L106" s="447"/>
      <c r="M106" s="447"/>
      <c r="N106" s="447"/>
      <c r="O106" s="447"/>
      <c r="P106" s="447"/>
    </row>
    <row r="107" spans="1:16" ht="15">
      <c r="A107" s="925">
        <v>102</v>
      </c>
      <c r="B107" s="929" t="s">
        <v>807</v>
      </c>
      <c r="C107" s="927" t="s">
        <v>691</v>
      </c>
      <c r="D107" s="447">
        <v>1990</v>
      </c>
      <c r="E107" s="447">
        <v>10</v>
      </c>
      <c r="F107" s="928" t="s">
        <v>1772</v>
      </c>
      <c r="G107" s="447">
        <v>27</v>
      </c>
      <c r="H107" s="447"/>
      <c r="I107" s="447"/>
      <c r="J107" s="447">
        <v>0</v>
      </c>
      <c r="K107" s="448"/>
      <c r="L107" s="447"/>
      <c r="M107" s="447"/>
      <c r="N107" s="447"/>
      <c r="O107" s="447"/>
      <c r="P107" s="447"/>
    </row>
    <row r="108" spans="1:16" ht="15">
      <c r="A108" s="925">
        <v>103</v>
      </c>
      <c r="B108" s="929" t="s">
        <v>808</v>
      </c>
      <c r="C108" s="927" t="s">
        <v>809</v>
      </c>
      <c r="D108" s="447">
        <v>1990</v>
      </c>
      <c r="E108" s="447">
        <v>10</v>
      </c>
      <c r="F108" s="928" t="s">
        <v>1772</v>
      </c>
      <c r="G108" s="447">
        <v>40</v>
      </c>
      <c r="H108" s="447"/>
      <c r="I108" s="447"/>
      <c r="J108" s="447">
        <v>0</v>
      </c>
      <c r="K108" s="448"/>
      <c r="L108" s="447"/>
      <c r="M108" s="447"/>
      <c r="N108" s="447"/>
      <c r="O108" s="447"/>
      <c r="P108" s="447"/>
    </row>
    <row r="109" spans="1:16" ht="15">
      <c r="A109" s="925">
        <v>104</v>
      </c>
      <c r="B109" s="929" t="s">
        <v>810</v>
      </c>
      <c r="C109" s="927" t="s">
        <v>811</v>
      </c>
      <c r="D109" s="447">
        <v>2000</v>
      </c>
      <c r="E109" s="447">
        <v>8</v>
      </c>
      <c r="F109" s="928" t="s">
        <v>1772</v>
      </c>
      <c r="G109" s="447">
        <v>8.8000000000000007</v>
      </c>
      <c r="H109" s="447"/>
      <c r="I109" s="447"/>
      <c r="J109" s="447">
        <v>0</v>
      </c>
      <c r="K109" s="448"/>
      <c r="L109" s="447"/>
      <c r="M109" s="447"/>
      <c r="N109" s="447"/>
      <c r="O109" s="447"/>
      <c r="P109" s="447"/>
    </row>
    <row r="110" spans="1:16" ht="15">
      <c r="A110" s="925">
        <v>105</v>
      </c>
      <c r="B110" s="929" t="s">
        <v>812</v>
      </c>
      <c r="C110" s="927" t="s">
        <v>735</v>
      </c>
      <c r="D110" s="447">
        <v>2000</v>
      </c>
      <c r="E110" s="447">
        <v>10</v>
      </c>
      <c r="F110" s="928" t="s">
        <v>1772</v>
      </c>
      <c r="G110" s="447">
        <v>17.899999999999999</v>
      </c>
      <c r="H110" s="447"/>
      <c r="I110" s="447"/>
      <c r="J110" s="447">
        <v>0</v>
      </c>
      <c r="K110" s="448"/>
      <c r="L110" s="447"/>
      <c r="M110" s="447"/>
      <c r="N110" s="447"/>
      <c r="O110" s="447"/>
      <c r="P110" s="447"/>
    </row>
    <row r="111" spans="1:16" ht="15">
      <c r="A111" s="925">
        <v>106</v>
      </c>
      <c r="B111" s="929" t="s">
        <v>813</v>
      </c>
      <c r="C111" s="927" t="s">
        <v>735</v>
      </c>
      <c r="D111" s="447">
        <v>2001</v>
      </c>
      <c r="E111" s="447">
        <v>10</v>
      </c>
      <c r="F111" s="928" t="s">
        <v>1772</v>
      </c>
      <c r="G111" s="447">
        <v>17.899999999999999</v>
      </c>
      <c r="H111" s="447"/>
      <c r="I111" s="447"/>
      <c r="J111" s="447">
        <v>0</v>
      </c>
      <c r="K111" s="448"/>
      <c r="L111" s="447"/>
      <c r="M111" s="447"/>
      <c r="N111" s="447"/>
      <c r="O111" s="447"/>
      <c r="P111" s="447"/>
    </row>
    <row r="112" spans="1:16" ht="15">
      <c r="A112" s="925">
        <v>107</v>
      </c>
      <c r="B112" s="929" t="s">
        <v>814</v>
      </c>
      <c r="C112" s="927" t="s">
        <v>684</v>
      </c>
      <c r="D112" s="447">
        <v>2002</v>
      </c>
      <c r="E112" s="447">
        <v>10</v>
      </c>
      <c r="F112" s="928" t="s">
        <v>1772</v>
      </c>
      <c r="G112" s="447">
        <v>17</v>
      </c>
      <c r="H112" s="447"/>
      <c r="I112" s="447"/>
      <c r="J112" s="447">
        <v>0</v>
      </c>
      <c r="K112" s="448"/>
      <c r="L112" s="447"/>
      <c r="M112" s="447"/>
      <c r="N112" s="447"/>
      <c r="O112" s="447"/>
      <c r="P112" s="447"/>
    </row>
    <row r="113" spans="1:16" ht="15">
      <c r="A113" s="925">
        <v>108</v>
      </c>
      <c r="B113" s="929" t="s">
        <v>815</v>
      </c>
      <c r="C113" s="927" t="s">
        <v>816</v>
      </c>
      <c r="D113" s="447">
        <v>2003</v>
      </c>
      <c r="E113" s="447">
        <v>10</v>
      </c>
      <c r="F113" s="928" t="s">
        <v>1772</v>
      </c>
      <c r="G113" s="447">
        <v>24.4</v>
      </c>
      <c r="H113" s="447"/>
      <c r="I113" s="447"/>
      <c r="J113" s="447">
        <v>0</v>
      </c>
      <c r="K113" s="448"/>
      <c r="L113" s="447"/>
      <c r="M113" s="447"/>
      <c r="N113" s="447"/>
      <c r="O113" s="447"/>
      <c r="P113" s="447"/>
    </row>
    <row r="114" spans="1:16" ht="15">
      <c r="A114" s="925">
        <v>109</v>
      </c>
      <c r="B114" s="929" t="s">
        <v>817</v>
      </c>
      <c r="C114" s="927" t="s">
        <v>684</v>
      </c>
      <c r="D114" s="447">
        <v>2004</v>
      </c>
      <c r="E114" s="447">
        <v>10</v>
      </c>
      <c r="F114" s="928" t="s">
        <v>1772</v>
      </c>
      <c r="G114" s="447">
        <v>17</v>
      </c>
      <c r="H114" s="447"/>
      <c r="I114" s="447"/>
      <c r="J114" s="447">
        <v>0</v>
      </c>
      <c r="K114" s="448"/>
      <c r="L114" s="447"/>
      <c r="M114" s="447"/>
      <c r="N114" s="447"/>
      <c r="O114" s="447"/>
      <c r="P114" s="447"/>
    </row>
    <row r="115" spans="1:16" ht="15">
      <c r="A115" s="925">
        <v>110</v>
      </c>
      <c r="B115" s="929" t="s">
        <v>818</v>
      </c>
      <c r="C115" s="927" t="s">
        <v>811</v>
      </c>
      <c r="D115" s="447">
        <v>2005</v>
      </c>
      <c r="E115" s="447">
        <v>8</v>
      </c>
      <c r="F115" s="928" t="s">
        <v>1772</v>
      </c>
      <c r="G115" s="447">
        <v>11.5</v>
      </c>
      <c r="H115" s="447"/>
      <c r="I115" s="447"/>
      <c r="J115" s="447">
        <v>0</v>
      </c>
      <c r="K115" s="448"/>
      <c r="L115" s="447"/>
      <c r="M115" s="447"/>
      <c r="N115" s="447"/>
      <c r="O115" s="447"/>
      <c r="P115" s="447"/>
    </row>
    <row r="116" spans="1:16" ht="15">
      <c r="A116" s="925">
        <v>111</v>
      </c>
      <c r="B116" s="929" t="s">
        <v>819</v>
      </c>
      <c r="C116" s="927" t="s">
        <v>684</v>
      </c>
      <c r="D116" s="447">
        <v>2006</v>
      </c>
      <c r="E116" s="447">
        <v>10</v>
      </c>
      <c r="F116" s="928" t="s">
        <v>1772</v>
      </c>
      <c r="G116" s="447">
        <v>17</v>
      </c>
      <c r="H116" s="447"/>
      <c r="I116" s="447"/>
      <c r="J116" s="447">
        <v>13388.65</v>
      </c>
      <c r="K116" s="448"/>
      <c r="L116" s="447"/>
      <c r="M116" s="447"/>
      <c r="N116" s="447"/>
      <c r="O116" s="447"/>
      <c r="P116" s="447"/>
    </row>
    <row r="117" spans="1:16" ht="15">
      <c r="A117" s="925">
        <v>112</v>
      </c>
      <c r="B117" s="929" t="s">
        <v>820</v>
      </c>
      <c r="C117" s="927" t="s">
        <v>764</v>
      </c>
      <c r="D117" s="447">
        <v>1968</v>
      </c>
      <c r="E117" s="447">
        <v>10</v>
      </c>
      <c r="F117" s="928" t="s">
        <v>1772</v>
      </c>
      <c r="G117" s="447">
        <v>0</v>
      </c>
      <c r="H117" s="447"/>
      <c r="I117" s="447"/>
      <c r="J117" s="447">
        <v>0</v>
      </c>
      <c r="K117" s="448"/>
      <c r="L117" s="447"/>
      <c r="M117" s="447"/>
      <c r="N117" s="447"/>
      <c r="O117" s="447"/>
      <c r="P117" s="447"/>
    </row>
    <row r="118" spans="1:16" ht="15">
      <c r="A118" s="925">
        <v>113</v>
      </c>
      <c r="B118" s="929" t="s">
        <v>821</v>
      </c>
      <c r="C118" s="927" t="s">
        <v>822</v>
      </c>
      <c r="D118" s="447">
        <v>1990</v>
      </c>
      <c r="E118" s="447">
        <v>10</v>
      </c>
      <c r="F118" s="928" t="s">
        <v>1772</v>
      </c>
      <c r="G118" s="447">
        <v>26</v>
      </c>
      <c r="H118" s="447"/>
      <c r="I118" s="447"/>
      <c r="J118" s="447">
        <v>0</v>
      </c>
      <c r="K118" s="448"/>
      <c r="L118" s="447"/>
      <c r="M118" s="447"/>
      <c r="N118" s="447"/>
      <c r="O118" s="447"/>
      <c r="P118" s="447"/>
    </row>
    <row r="119" spans="1:16" ht="15">
      <c r="A119" s="925">
        <v>114</v>
      </c>
      <c r="B119" s="929" t="s">
        <v>823</v>
      </c>
      <c r="C119" s="927" t="s">
        <v>824</v>
      </c>
      <c r="D119" s="447">
        <v>1975</v>
      </c>
      <c r="E119" s="447">
        <v>10</v>
      </c>
      <c r="F119" s="928" t="s">
        <v>1772</v>
      </c>
      <c r="G119" s="447">
        <v>31</v>
      </c>
      <c r="H119" s="447"/>
      <c r="I119" s="447"/>
      <c r="J119" s="447">
        <v>0</v>
      </c>
      <c r="K119" s="448"/>
      <c r="L119" s="447"/>
      <c r="M119" s="447"/>
      <c r="N119" s="447"/>
      <c r="O119" s="447"/>
      <c r="P119" s="447"/>
    </row>
    <row r="120" spans="1:16" ht="15">
      <c r="A120" s="925">
        <v>115</v>
      </c>
      <c r="B120" s="929" t="s">
        <v>825</v>
      </c>
      <c r="C120" s="927" t="s">
        <v>691</v>
      </c>
      <c r="D120" s="447">
        <v>1991</v>
      </c>
      <c r="E120" s="447">
        <v>10</v>
      </c>
      <c r="F120" s="928" t="s">
        <v>1772</v>
      </c>
      <c r="G120" s="447">
        <v>25</v>
      </c>
      <c r="H120" s="447"/>
      <c r="I120" s="447"/>
      <c r="J120" s="447">
        <v>0</v>
      </c>
      <c r="K120" s="448"/>
      <c r="L120" s="447"/>
      <c r="M120" s="447"/>
      <c r="N120" s="447"/>
      <c r="O120" s="447"/>
      <c r="P120" s="447"/>
    </row>
    <row r="121" spans="1:16" ht="15">
      <c r="A121" s="925">
        <v>116</v>
      </c>
      <c r="B121" s="929" t="s">
        <v>826</v>
      </c>
      <c r="C121" s="927" t="s">
        <v>827</v>
      </c>
      <c r="D121" s="447">
        <v>1993</v>
      </c>
      <c r="E121" s="447">
        <v>10</v>
      </c>
      <c r="F121" s="928" t="s">
        <v>1772</v>
      </c>
      <c r="G121" s="447">
        <v>4.8</v>
      </c>
      <c r="H121" s="447"/>
      <c r="I121" s="447"/>
      <c r="J121" s="447">
        <v>0</v>
      </c>
      <c r="K121" s="448"/>
      <c r="L121" s="447"/>
      <c r="M121" s="447"/>
      <c r="N121" s="447"/>
      <c r="O121" s="447"/>
      <c r="P121" s="447"/>
    </row>
    <row r="122" spans="1:16" ht="15">
      <c r="A122" s="925">
        <v>117</v>
      </c>
      <c r="B122" s="929" t="s">
        <v>830</v>
      </c>
      <c r="C122" s="927" t="s">
        <v>769</v>
      </c>
      <c r="D122" s="447">
        <v>1993</v>
      </c>
      <c r="E122" s="447">
        <v>10</v>
      </c>
      <c r="F122" s="928" t="s">
        <v>1772</v>
      </c>
      <c r="G122" s="447">
        <v>0</v>
      </c>
      <c r="H122" s="447"/>
      <c r="I122" s="447"/>
      <c r="J122" s="447">
        <v>0</v>
      </c>
      <c r="K122" s="448"/>
      <c r="L122" s="447"/>
      <c r="M122" s="447"/>
      <c r="N122" s="447"/>
      <c r="O122" s="447"/>
      <c r="P122" s="447"/>
    </row>
    <row r="123" spans="1:16" ht="15">
      <c r="A123" s="925">
        <v>118</v>
      </c>
      <c r="B123" s="929" t="s">
        <v>831</v>
      </c>
      <c r="C123" s="927" t="s">
        <v>811</v>
      </c>
      <c r="D123" s="447">
        <v>1994</v>
      </c>
      <c r="E123" s="447">
        <v>8</v>
      </c>
      <c r="F123" s="928" t="s">
        <v>1772</v>
      </c>
      <c r="G123" s="447">
        <v>15.5</v>
      </c>
      <c r="H123" s="447"/>
      <c r="I123" s="447"/>
      <c r="J123" s="447">
        <v>0</v>
      </c>
      <c r="K123" s="448"/>
      <c r="L123" s="447"/>
      <c r="M123" s="447"/>
      <c r="N123" s="447"/>
      <c r="O123" s="447"/>
      <c r="P123" s="447"/>
    </row>
    <row r="124" spans="1:16" ht="15">
      <c r="A124" s="925">
        <v>119</v>
      </c>
      <c r="B124" s="929" t="s">
        <v>832</v>
      </c>
      <c r="C124" s="927" t="s">
        <v>833</v>
      </c>
      <c r="D124" s="447">
        <v>1990</v>
      </c>
      <c r="E124" s="447">
        <v>10</v>
      </c>
      <c r="F124" s="928" t="s">
        <v>1772</v>
      </c>
      <c r="G124" s="447">
        <v>0</v>
      </c>
      <c r="H124" s="447"/>
      <c r="I124" s="447"/>
      <c r="J124" s="447">
        <v>0</v>
      </c>
      <c r="K124" s="448"/>
      <c r="L124" s="447"/>
      <c r="M124" s="447"/>
      <c r="N124" s="447"/>
      <c r="O124" s="447"/>
      <c r="P124" s="447"/>
    </row>
    <row r="125" spans="1:16" ht="15">
      <c r="A125" s="925">
        <v>120</v>
      </c>
      <c r="B125" s="929" t="s">
        <v>834</v>
      </c>
      <c r="C125" s="927" t="s">
        <v>702</v>
      </c>
      <c r="D125" s="447">
        <v>1996</v>
      </c>
      <c r="E125" s="447">
        <v>10</v>
      </c>
      <c r="F125" s="928" t="s">
        <v>1772</v>
      </c>
      <c r="G125" s="447">
        <v>17.8</v>
      </c>
      <c r="H125" s="447"/>
      <c r="I125" s="447"/>
      <c r="J125" s="447">
        <v>0</v>
      </c>
      <c r="K125" s="448"/>
      <c r="L125" s="447"/>
      <c r="M125" s="447"/>
      <c r="N125" s="447"/>
      <c r="O125" s="447"/>
      <c r="P125" s="447"/>
    </row>
    <row r="126" spans="1:16" ht="15">
      <c r="A126" s="925">
        <v>121</v>
      </c>
      <c r="B126" s="929" t="s">
        <v>835</v>
      </c>
      <c r="C126" s="927" t="s">
        <v>680</v>
      </c>
      <c r="D126" s="447">
        <v>2012</v>
      </c>
      <c r="E126" s="447">
        <v>0</v>
      </c>
      <c r="F126" s="928" t="s">
        <v>1772</v>
      </c>
      <c r="G126" s="447">
        <v>11.5</v>
      </c>
      <c r="H126" s="447"/>
      <c r="I126" s="447"/>
      <c r="J126" s="447">
        <v>75976.05</v>
      </c>
      <c r="K126" s="448"/>
      <c r="L126" s="447"/>
      <c r="M126" s="447"/>
      <c r="N126" s="447"/>
      <c r="O126" s="447"/>
      <c r="P126" s="447"/>
    </row>
    <row r="127" spans="1:16" ht="15">
      <c r="A127" s="925">
        <v>122</v>
      </c>
      <c r="B127" s="929" t="s">
        <v>836</v>
      </c>
      <c r="C127" s="927" t="s">
        <v>684</v>
      </c>
      <c r="D127" s="447">
        <v>1999</v>
      </c>
      <c r="E127" s="447">
        <v>10</v>
      </c>
      <c r="F127" s="928" t="s">
        <v>1772</v>
      </c>
      <c r="G127" s="447">
        <v>18.100000000000001</v>
      </c>
      <c r="H127" s="447">
        <v>1.8</v>
      </c>
      <c r="I127" s="447">
        <v>21.6</v>
      </c>
      <c r="J127" s="447">
        <v>0</v>
      </c>
      <c r="K127" s="448"/>
      <c r="L127" s="332"/>
      <c r="M127" s="447"/>
      <c r="N127" s="447"/>
      <c r="O127" s="447"/>
      <c r="P127" s="447"/>
    </row>
    <row r="128" spans="1:16" ht="15">
      <c r="A128" s="925">
        <v>123</v>
      </c>
      <c r="B128" s="929" t="s">
        <v>837</v>
      </c>
      <c r="C128" s="927" t="s">
        <v>779</v>
      </c>
      <c r="D128" s="447">
        <v>2011</v>
      </c>
      <c r="E128" s="447">
        <v>10</v>
      </c>
      <c r="F128" s="928" t="s">
        <v>1772</v>
      </c>
      <c r="G128" s="447">
        <v>17</v>
      </c>
      <c r="H128" s="447"/>
      <c r="I128" s="447"/>
      <c r="J128" s="447">
        <v>0</v>
      </c>
      <c r="K128" s="448"/>
      <c r="L128" s="447"/>
      <c r="M128" s="447"/>
      <c r="N128" s="447"/>
      <c r="O128" s="447"/>
      <c r="P128" s="447"/>
    </row>
    <row r="129" spans="1:16" ht="15">
      <c r="A129" s="925">
        <v>124</v>
      </c>
      <c r="B129" s="929" t="s">
        <v>838</v>
      </c>
      <c r="C129" s="927" t="s">
        <v>684</v>
      </c>
      <c r="D129" s="447">
        <v>2000</v>
      </c>
      <c r="E129" s="447">
        <v>10</v>
      </c>
      <c r="F129" s="928" t="s">
        <v>1773</v>
      </c>
      <c r="G129" s="447">
        <v>17</v>
      </c>
      <c r="H129" s="447"/>
      <c r="I129" s="447"/>
      <c r="J129" s="447">
        <v>0</v>
      </c>
      <c r="K129" s="448"/>
      <c r="L129" s="447"/>
      <c r="M129" s="447"/>
      <c r="N129" s="447"/>
      <c r="O129" s="447"/>
      <c r="P129" s="447"/>
    </row>
    <row r="130" spans="1:16" ht="15">
      <c r="A130" s="925">
        <v>125</v>
      </c>
      <c r="B130" s="929" t="s">
        <v>839</v>
      </c>
      <c r="C130" s="927" t="s">
        <v>811</v>
      </c>
      <c r="D130" s="447">
        <v>1999</v>
      </c>
      <c r="E130" s="447">
        <v>8</v>
      </c>
      <c r="F130" s="928" t="s">
        <v>1773</v>
      </c>
      <c r="G130" s="447">
        <v>16.7</v>
      </c>
      <c r="H130" s="447"/>
      <c r="I130" s="447"/>
      <c r="J130" s="447">
        <v>0</v>
      </c>
      <c r="K130" s="448"/>
      <c r="L130" s="447"/>
      <c r="M130" s="447"/>
      <c r="N130" s="447"/>
      <c r="O130" s="447"/>
      <c r="P130" s="447"/>
    </row>
    <row r="131" spans="1:16" ht="15">
      <c r="A131" s="925">
        <v>126</v>
      </c>
      <c r="B131" s="929" t="s">
        <v>840</v>
      </c>
      <c r="C131" s="927" t="s">
        <v>702</v>
      </c>
      <c r="D131" s="447">
        <v>1996</v>
      </c>
      <c r="E131" s="447">
        <v>10</v>
      </c>
      <c r="F131" s="928" t="s">
        <v>1773</v>
      </c>
      <c r="G131" s="447">
        <v>17.8</v>
      </c>
      <c r="H131" s="447"/>
      <c r="I131" s="447"/>
      <c r="J131" s="447">
        <v>0</v>
      </c>
      <c r="K131" s="448"/>
      <c r="L131" s="447"/>
      <c r="M131" s="447"/>
      <c r="N131" s="447"/>
      <c r="O131" s="447"/>
      <c r="P131" s="447"/>
    </row>
    <row r="132" spans="1:16" ht="15">
      <c r="A132" s="925">
        <v>127</v>
      </c>
      <c r="B132" s="929" t="s">
        <v>841</v>
      </c>
      <c r="C132" s="927" t="s">
        <v>735</v>
      </c>
      <c r="D132" s="447">
        <v>2000</v>
      </c>
      <c r="E132" s="447">
        <v>10</v>
      </c>
      <c r="F132" s="928" t="s">
        <v>1773</v>
      </c>
      <c r="G132" s="447">
        <v>17.899999999999999</v>
      </c>
      <c r="H132" s="447"/>
      <c r="I132" s="447"/>
      <c r="J132" s="447">
        <v>0</v>
      </c>
      <c r="K132" s="448"/>
      <c r="L132" s="447"/>
      <c r="M132" s="447"/>
      <c r="N132" s="447"/>
      <c r="O132" s="447"/>
      <c r="P132" s="447"/>
    </row>
    <row r="133" spans="1:16" ht="15">
      <c r="A133" s="925">
        <v>128</v>
      </c>
      <c r="B133" s="929" t="s">
        <v>842</v>
      </c>
      <c r="C133" s="927" t="s">
        <v>684</v>
      </c>
      <c r="D133" s="447">
        <v>2002</v>
      </c>
      <c r="E133" s="447">
        <v>10</v>
      </c>
      <c r="F133" s="928" t="s">
        <v>1773</v>
      </c>
      <c r="G133" s="447">
        <v>17</v>
      </c>
      <c r="H133" s="447"/>
      <c r="I133" s="447"/>
      <c r="J133" s="447">
        <v>0</v>
      </c>
      <c r="K133" s="448"/>
      <c r="L133" s="447"/>
      <c r="M133" s="447"/>
      <c r="N133" s="447"/>
      <c r="O133" s="447"/>
      <c r="P133" s="447"/>
    </row>
    <row r="134" spans="1:16" ht="15">
      <c r="A134" s="925">
        <v>129</v>
      </c>
      <c r="B134" s="929" t="s">
        <v>843</v>
      </c>
      <c r="C134" s="927" t="s">
        <v>844</v>
      </c>
      <c r="D134" s="447">
        <v>1992</v>
      </c>
      <c r="E134" s="447">
        <v>10</v>
      </c>
      <c r="F134" s="928" t="s">
        <v>1773</v>
      </c>
      <c r="G134" s="447">
        <v>40</v>
      </c>
      <c r="H134" s="447"/>
      <c r="I134" s="447"/>
      <c r="J134" s="447">
        <v>0</v>
      </c>
      <c r="K134" s="448"/>
      <c r="L134" s="447"/>
      <c r="M134" s="447"/>
      <c r="N134" s="447"/>
      <c r="O134" s="447"/>
      <c r="P134" s="447"/>
    </row>
    <row r="135" spans="1:16" ht="15">
      <c r="A135" s="925">
        <v>130</v>
      </c>
      <c r="B135" s="929" t="s">
        <v>845</v>
      </c>
      <c r="C135" s="927" t="s">
        <v>811</v>
      </c>
      <c r="D135" s="447">
        <v>2003</v>
      </c>
      <c r="E135" s="447">
        <v>8</v>
      </c>
      <c r="F135" s="928" t="s">
        <v>1773</v>
      </c>
      <c r="G135" s="447">
        <v>11.5</v>
      </c>
      <c r="H135" s="447"/>
      <c r="I135" s="447"/>
      <c r="J135" s="447">
        <v>0</v>
      </c>
      <c r="K135" s="448"/>
      <c r="L135" s="447"/>
      <c r="M135" s="447"/>
      <c r="N135" s="447"/>
      <c r="O135" s="447"/>
      <c r="P135" s="447"/>
    </row>
    <row r="136" spans="1:16" ht="15">
      <c r="A136" s="925">
        <v>131</v>
      </c>
      <c r="B136" s="929" t="s">
        <v>846</v>
      </c>
      <c r="C136" s="927" t="s">
        <v>811</v>
      </c>
      <c r="D136" s="447">
        <v>2004</v>
      </c>
      <c r="E136" s="447">
        <v>8</v>
      </c>
      <c r="F136" s="928" t="s">
        <v>1773</v>
      </c>
      <c r="G136" s="447">
        <v>11.5</v>
      </c>
      <c r="H136" s="447"/>
      <c r="I136" s="447"/>
      <c r="J136" s="447">
        <v>0</v>
      </c>
      <c r="K136" s="448"/>
      <c r="L136" s="447"/>
      <c r="M136" s="447"/>
      <c r="N136" s="447"/>
      <c r="O136" s="447"/>
      <c r="P136" s="447"/>
    </row>
    <row r="137" spans="1:16" ht="15">
      <c r="A137" s="925">
        <v>132</v>
      </c>
      <c r="B137" s="929" t="s">
        <v>847</v>
      </c>
      <c r="C137" s="927" t="s">
        <v>680</v>
      </c>
      <c r="D137" s="447">
        <v>2012</v>
      </c>
      <c r="E137" s="447">
        <v>0</v>
      </c>
      <c r="F137" s="928" t="s">
        <v>1773</v>
      </c>
      <c r="G137" s="447">
        <v>11.5</v>
      </c>
      <c r="H137" s="447"/>
      <c r="I137" s="447"/>
      <c r="J137" s="447">
        <v>75976.05</v>
      </c>
      <c r="K137" s="448"/>
      <c r="L137" s="447"/>
      <c r="M137" s="447"/>
      <c r="N137" s="447"/>
      <c r="O137" s="447"/>
      <c r="P137" s="447"/>
    </row>
    <row r="138" spans="1:16" ht="15">
      <c r="A138" s="925">
        <v>133</v>
      </c>
      <c r="B138" s="929" t="s">
        <v>848</v>
      </c>
      <c r="C138" s="927" t="s">
        <v>684</v>
      </c>
      <c r="D138" s="447">
        <v>2004</v>
      </c>
      <c r="E138" s="447">
        <v>10</v>
      </c>
      <c r="F138" s="928" t="s">
        <v>1773</v>
      </c>
      <c r="G138" s="447">
        <v>17</v>
      </c>
      <c r="H138" s="447">
        <v>1.8</v>
      </c>
      <c r="I138" s="447">
        <v>21.6</v>
      </c>
      <c r="J138" s="447">
        <v>0</v>
      </c>
      <c r="K138" s="448"/>
      <c r="L138" s="332"/>
      <c r="M138" s="447"/>
      <c r="N138" s="447"/>
      <c r="O138" s="447"/>
      <c r="P138" s="447"/>
    </row>
    <row r="139" spans="1:16" ht="15">
      <c r="A139" s="925">
        <v>134</v>
      </c>
      <c r="B139" s="929" t="s">
        <v>849</v>
      </c>
      <c r="C139" s="927" t="s">
        <v>850</v>
      </c>
      <c r="D139" s="447">
        <v>2001</v>
      </c>
      <c r="E139" s="447">
        <v>10</v>
      </c>
      <c r="F139" s="928" t="s">
        <v>1773</v>
      </c>
      <c r="G139" s="447">
        <v>15.6</v>
      </c>
      <c r="H139" s="447"/>
      <c r="I139" s="447"/>
      <c r="J139" s="447">
        <v>22788.63</v>
      </c>
      <c r="K139" s="448"/>
      <c r="L139" s="447"/>
      <c r="M139" s="447"/>
      <c r="N139" s="447"/>
      <c r="O139" s="447"/>
      <c r="P139" s="447"/>
    </row>
    <row r="140" spans="1:16" ht="15">
      <c r="A140" s="925">
        <v>135</v>
      </c>
      <c r="B140" s="929" t="s">
        <v>851</v>
      </c>
      <c r="C140" s="927" t="s">
        <v>691</v>
      </c>
      <c r="D140" s="447">
        <v>1990</v>
      </c>
      <c r="E140" s="447">
        <v>10</v>
      </c>
      <c r="F140" s="928" t="s">
        <v>1773</v>
      </c>
      <c r="G140" s="447">
        <v>25</v>
      </c>
      <c r="H140" s="447"/>
      <c r="I140" s="447"/>
      <c r="J140" s="447">
        <v>0</v>
      </c>
      <c r="K140" s="448"/>
      <c r="L140" s="447"/>
      <c r="M140" s="447"/>
      <c r="N140" s="447"/>
      <c r="O140" s="447"/>
      <c r="P140" s="447"/>
    </row>
    <row r="141" spans="1:16" ht="15">
      <c r="A141" s="925">
        <v>136</v>
      </c>
      <c r="B141" s="929" t="s">
        <v>852</v>
      </c>
      <c r="C141" s="927" t="s">
        <v>691</v>
      </c>
      <c r="D141" s="447">
        <v>1991</v>
      </c>
      <c r="E141" s="447">
        <v>10</v>
      </c>
      <c r="F141" s="928" t="s">
        <v>1773</v>
      </c>
      <c r="G141" s="447">
        <v>25</v>
      </c>
      <c r="H141" s="447"/>
      <c r="I141" s="447"/>
      <c r="J141" s="447">
        <v>0</v>
      </c>
      <c r="K141" s="448"/>
      <c r="L141" s="447"/>
      <c r="M141" s="447"/>
      <c r="N141" s="447"/>
      <c r="O141" s="447"/>
      <c r="P141" s="447"/>
    </row>
    <row r="142" spans="1:16" ht="15">
      <c r="A142" s="925">
        <v>137</v>
      </c>
      <c r="B142" s="929" t="s">
        <v>853</v>
      </c>
      <c r="C142" s="927" t="s">
        <v>691</v>
      </c>
      <c r="D142" s="447">
        <v>1993</v>
      </c>
      <c r="E142" s="447">
        <v>10</v>
      </c>
      <c r="F142" s="928" t="s">
        <v>1773</v>
      </c>
      <c r="G142" s="447">
        <v>25</v>
      </c>
      <c r="H142" s="447"/>
      <c r="I142" s="447"/>
      <c r="J142" s="447">
        <v>0</v>
      </c>
      <c r="K142" s="448"/>
      <c r="L142" s="447"/>
      <c r="M142" s="447"/>
      <c r="N142" s="447"/>
      <c r="O142" s="447"/>
      <c r="P142" s="447"/>
    </row>
    <row r="143" spans="1:16" ht="15">
      <c r="A143" s="925">
        <v>138</v>
      </c>
      <c r="B143" s="929" t="s">
        <v>854</v>
      </c>
      <c r="C143" s="927" t="s">
        <v>827</v>
      </c>
      <c r="D143" s="447">
        <v>1993</v>
      </c>
      <c r="E143" s="447">
        <v>10</v>
      </c>
      <c r="F143" s="928" t="s">
        <v>1773</v>
      </c>
      <c r="G143" s="447">
        <v>4.8</v>
      </c>
      <c r="H143" s="447"/>
      <c r="I143" s="447"/>
      <c r="J143" s="447">
        <v>0</v>
      </c>
      <c r="K143" s="448"/>
      <c r="L143" s="447"/>
      <c r="M143" s="447"/>
      <c r="N143" s="447"/>
      <c r="O143" s="447"/>
      <c r="P143" s="447"/>
    </row>
    <row r="144" spans="1:16" ht="15">
      <c r="A144" s="925">
        <v>139</v>
      </c>
      <c r="B144" s="929" t="s">
        <v>855</v>
      </c>
      <c r="C144" s="927" t="s">
        <v>691</v>
      </c>
      <c r="D144" s="447">
        <v>1984</v>
      </c>
      <c r="E144" s="447">
        <v>10</v>
      </c>
      <c r="F144" s="928" t="s">
        <v>1773</v>
      </c>
      <c r="G144" s="447">
        <v>25</v>
      </c>
      <c r="H144" s="447"/>
      <c r="I144" s="447"/>
      <c r="J144" s="447">
        <v>0</v>
      </c>
      <c r="K144" s="448"/>
      <c r="L144" s="447"/>
      <c r="M144" s="447"/>
      <c r="N144" s="447"/>
      <c r="O144" s="447"/>
      <c r="P144" s="447"/>
    </row>
    <row r="145" spans="1:16" ht="15">
      <c r="A145" s="925">
        <v>140</v>
      </c>
      <c r="B145" s="929" t="s">
        <v>856</v>
      </c>
      <c r="C145" s="927" t="s">
        <v>677</v>
      </c>
      <c r="D145" s="447">
        <v>2000</v>
      </c>
      <c r="E145" s="447">
        <v>8</v>
      </c>
      <c r="F145" s="928" t="s">
        <v>1773</v>
      </c>
      <c r="G145" s="447">
        <v>8.8000000000000007</v>
      </c>
      <c r="H145" s="447"/>
      <c r="I145" s="447"/>
      <c r="J145" s="447">
        <v>0</v>
      </c>
      <c r="K145" s="448"/>
      <c r="L145" s="447"/>
      <c r="M145" s="447"/>
      <c r="N145" s="447"/>
      <c r="O145" s="447"/>
      <c r="P145" s="447"/>
    </row>
    <row r="146" spans="1:16" ht="15">
      <c r="A146" s="925">
        <v>141</v>
      </c>
      <c r="B146" s="929" t="s">
        <v>857</v>
      </c>
      <c r="C146" s="927" t="s">
        <v>677</v>
      </c>
      <c r="D146" s="447">
        <v>1998</v>
      </c>
      <c r="E146" s="447">
        <v>8</v>
      </c>
      <c r="F146" s="928" t="s">
        <v>1773</v>
      </c>
      <c r="G146" s="447">
        <v>9.1</v>
      </c>
      <c r="H146" s="447"/>
      <c r="I146" s="447"/>
      <c r="J146" s="447">
        <v>0</v>
      </c>
      <c r="K146" s="448"/>
      <c r="L146" s="447"/>
      <c r="M146" s="447"/>
      <c r="N146" s="447"/>
      <c r="O146" s="447"/>
      <c r="P146" s="447"/>
    </row>
    <row r="147" spans="1:16" ht="15">
      <c r="A147" s="925">
        <v>142</v>
      </c>
      <c r="B147" s="929" t="s">
        <v>858</v>
      </c>
      <c r="C147" s="927" t="s">
        <v>677</v>
      </c>
      <c r="D147" s="447">
        <v>1980</v>
      </c>
      <c r="E147" s="447">
        <v>8</v>
      </c>
      <c r="F147" s="928" t="s">
        <v>1773</v>
      </c>
      <c r="G147" s="447">
        <v>16</v>
      </c>
      <c r="H147" s="447">
        <v>1.7</v>
      </c>
      <c r="I147" s="447">
        <v>20.399999999999999</v>
      </c>
      <c r="J147" s="447">
        <v>0</v>
      </c>
      <c r="K147" s="448"/>
      <c r="L147" s="447"/>
      <c r="M147" s="447"/>
      <c r="N147" s="447"/>
      <c r="O147" s="447"/>
      <c r="P147" s="447"/>
    </row>
    <row r="148" spans="1:16" ht="15">
      <c r="A148" s="925">
        <v>143</v>
      </c>
      <c r="B148" s="929" t="s">
        <v>859</v>
      </c>
      <c r="C148" s="927" t="s">
        <v>860</v>
      </c>
      <c r="D148" s="447">
        <v>2003</v>
      </c>
      <c r="E148" s="447">
        <v>10</v>
      </c>
      <c r="F148" s="928" t="s">
        <v>1773</v>
      </c>
      <c r="G148" s="447">
        <v>37.200000000000003</v>
      </c>
      <c r="H148" s="447"/>
      <c r="I148" s="447"/>
      <c r="J148" s="447">
        <v>0</v>
      </c>
      <c r="K148" s="448"/>
      <c r="L148" s="447"/>
      <c r="M148" s="447"/>
      <c r="N148" s="447"/>
      <c r="O148" s="447"/>
      <c r="P148" s="447"/>
    </row>
    <row r="149" spans="1:16" ht="15">
      <c r="A149" s="925">
        <v>144</v>
      </c>
      <c r="B149" s="929" t="s">
        <v>861</v>
      </c>
      <c r="C149" s="927" t="s">
        <v>764</v>
      </c>
      <c r="D149" s="447">
        <v>1987</v>
      </c>
      <c r="E149" s="447">
        <v>10</v>
      </c>
      <c r="F149" s="928" t="s">
        <v>1773</v>
      </c>
      <c r="G149" s="447">
        <v>0</v>
      </c>
      <c r="H149" s="447"/>
      <c r="I149" s="447"/>
      <c r="J149" s="447">
        <v>0</v>
      </c>
      <c r="K149" s="448"/>
      <c r="L149" s="447"/>
      <c r="M149" s="447"/>
      <c r="N149" s="447"/>
      <c r="O149" s="447"/>
      <c r="P149" s="447"/>
    </row>
    <row r="150" spans="1:16" ht="15">
      <c r="A150" s="925">
        <v>145</v>
      </c>
      <c r="B150" s="929" t="s">
        <v>862</v>
      </c>
      <c r="C150" s="927" t="s">
        <v>696</v>
      </c>
      <c r="D150" s="447">
        <v>2000</v>
      </c>
      <c r="E150" s="447">
        <v>10</v>
      </c>
      <c r="F150" s="928" t="s">
        <v>1773</v>
      </c>
      <c r="G150" s="447">
        <v>17.899999999999999</v>
      </c>
      <c r="H150" s="447"/>
      <c r="I150" s="447"/>
      <c r="J150" s="447">
        <v>0</v>
      </c>
      <c r="K150" s="448"/>
      <c r="L150" s="447"/>
      <c r="M150" s="447"/>
      <c r="N150" s="447"/>
      <c r="O150" s="447"/>
      <c r="P150" s="447"/>
    </row>
    <row r="151" spans="1:16" ht="15">
      <c r="A151" s="925">
        <v>146</v>
      </c>
      <c r="B151" s="929" t="s">
        <v>863</v>
      </c>
      <c r="C151" s="927" t="s">
        <v>779</v>
      </c>
      <c r="D151" s="447">
        <v>2008</v>
      </c>
      <c r="E151" s="447">
        <v>10</v>
      </c>
      <c r="F151" s="928" t="s">
        <v>1773</v>
      </c>
      <c r="G151" s="447">
        <v>17</v>
      </c>
      <c r="H151" s="447"/>
      <c r="I151" s="447"/>
      <c r="J151" s="447">
        <v>35164.050000000003</v>
      </c>
      <c r="K151" s="448"/>
      <c r="L151" s="447"/>
      <c r="M151" s="447"/>
      <c r="N151" s="447"/>
      <c r="O151" s="447"/>
      <c r="P151" s="447"/>
    </row>
    <row r="152" spans="1:16" ht="15">
      <c r="A152" s="925">
        <v>147</v>
      </c>
      <c r="B152" s="929" t="s">
        <v>864</v>
      </c>
      <c r="C152" s="927" t="s">
        <v>680</v>
      </c>
      <c r="D152" s="447">
        <v>2007</v>
      </c>
      <c r="E152" s="447">
        <v>8</v>
      </c>
      <c r="F152" s="928" t="s">
        <v>1773</v>
      </c>
      <c r="G152" s="447">
        <v>11.5</v>
      </c>
      <c r="H152" s="447"/>
      <c r="I152" s="447"/>
      <c r="J152" s="447">
        <v>15459.59</v>
      </c>
      <c r="K152" s="448"/>
      <c r="L152" s="447"/>
      <c r="M152" s="447"/>
      <c r="N152" s="447"/>
      <c r="O152" s="447"/>
      <c r="P152" s="447"/>
    </row>
    <row r="153" spans="1:16" ht="15">
      <c r="A153" s="925">
        <v>148</v>
      </c>
      <c r="B153" s="929" t="s">
        <v>865</v>
      </c>
      <c r="C153" s="927" t="s">
        <v>684</v>
      </c>
      <c r="D153" s="447">
        <v>2009</v>
      </c>
      <c r="E153" s="447">
        <v>10</v>
      </c>
      <c r="F153" s="928" t="s">
        <v>1773</v>
      </c>
      <c r="G153" s="447">
        <v>17</v>
      </c>
      <c r="H153" s="447"/>
      <c r="I153" s="447"/>
      <c r="J153" s="447">
        <v>54036.800000000003</v>
      </c>
      <c r="K153" s="448"/>
      <c r="L153" s="447"/>
      <c r="M153" s="447"/>
      <c r="N153" s="447"/>
      <c r="O153" s="447"/>
      <c r="P153" s="447"/>
    </row>
    <row r="154" spans="1:16" ht="15">
      <c r="A154" s="925">
        <v>149</v>
      </c>
      <c r="B154" s="929" t="s">
        <v>866</v>
      </c>
      <c r="C154" s="927" t="s">
        <v>816</v>
      </c>
      <c r="D154" s="447">
        <v>2003</v>
      </c>
      <c r="E154" s="447">
        <v>10</v>
      </c>
      <c r="F154" s="928" t="s">
        <v>1774</v>
      </c>
      <c r="G154" s="447">
        <v>24.4</v>
      </c>
      <c r="H154" s="447"/>
      <c r="I154" s="447"/>
      <c r="J154" s="447">
        <v>0</v>
      </c>
      <c r="K154" s="448"/>
      <c r="L154" s="447"/>
      <c r="M154" s="447"/>
      <c r="N154" s="447"/>
      <c r="O154" s="447"/>
      <c r="P154" s="447"/>
    </row>
    <row r="155" spans="1:16" ht="15">
      <c r="A155" s="925">
        <v>150</v>
      </c>
      <c r="B155" s="929" t="s">
        <v>867</v>
      </c>
      <c r="C155" s="927" t="s">
        <v>735</v>
      </c>
      <c r="D155" s="447">
        <v>1991</v>
      </c>
      <c r="E155" s="447">
        <v>10</v>
      </c>
      <c r="F155" s="928" t="s">
        <v>1774</v>
      </c>
      <c r="G155" s="447">
        <v>22</v>
      </c>
      <c r="H155" s="447"/>
      <c r="I155" s="447"/>
      <c r="J155" s="447">
        <v>0</v>
      </c>
      <c r="K155" s="448"/>
      <c r="L155" s="447"/>
      <c r="M155" s="447"/>
      <c r="N155" s="447"/>
      <c r="O155" s="447"/>
      <c r="P155" s="447"/>
    </row>
    <row r="156" spans="1:16" ht="15">
      <c r="A156" s="925">
        <v>151</v>
      </c>
      <c r="B156" s="929" t="s">
        <v>868</v>
      </c>
      <c r="C156" s="927" t="s">
        <v>684</v>
      </c>
      <c r="D156" s="447">
        <v>1995</v>
      </c>
      <c r="E156" s="447">
        <v>10</v>
      </c>
      <c r="F156" s="928" t="s">
        <v>1774</v>
      </c>
      <c r="G156" s="447">
        <v>18.3</v>
      </c>
      <c r="H156" s="447"/>
      <c r="I156" s="447"/>
      <c r="J156" s="447">
        <v>0</v>
      </c>
      <c r="K156" s="448"/>
      <c r="L156" s="447"/>
      <c r="M156" s="447"/>
      <c r="N156" s="447"/>
      <c r="O156" s="447"/>
      <c r="P156" s="447"/>
    </row>
    <row r="157" spans="1:16" ht="15">
      <c r="A157" s="925">
        <v>152</v>
      </c>
      <c r="B157" s="929" t="s">
        <v>869</v>
      </c>
      <c r="C157" s="927" t="s">
        <v>684</v>
      </c>
      <c r="D157" s="447">
        <v>1988</v>
      </c>
      <c r="E157" s="447">
        <v>10</v>
      </c>
      <c r="F157" s="928" t="s">
        <v>1774</v>
      </c>
      <c r="G157" s="447">
        <v>17</v>
      </c>
      <c r="H157" s="447"/>
      <c r="I157" s="447"/>
      <c r="J157" s="447">
        <v>0</v>
      </c>
      <c r="K157" s="448"/>
      <c r="L157" s="447"/>
      <c r="M157" s="447"/>
      <c r="N157" s="447"/>
      <c r="O157" s="447"/>
      <c r="P157" s="447"/>
    </row>
    <row r="158" spans="1:16" ht="15">
      <c r="A158" s="925">
        <v>153</v>
      </c>
      <c r="B158" s="929" t="s">
        <v>870</v>
      </c>
      <c r="C158" s="927" t="s">
        <v>680</v>
      </c>
      <c r="D158" s="447">
        <v>2012</v>
      </c>
      <c r="E158" s="447">
        <v>0</v>
      </c>
      <c r="F158" s="928" t="s">
        <v>1774</v>
      </c>
      <c r="G158" s="447">
        <v>11.5</v>
      </c>
      <c r="H158" s="447"/>
      <c r="I158" s="447"/>
      <c r="J158" s="447">
        <v>75976.05</v>
      </c>
      <c r="K158" s="448"/>
      <c r="L158" s="447"/>
      <c r="M158" s="447"/>
      <c r="N158" s="447"/>
      <c r="O158" s="447"/>
      <c r="P158" s="447"/>
    </row>
    <row r="159" spans="1:16" ht="15">
      <c r="A159" s="925">
        <v>154</v>
      </c>
      <c r="B159" s="929" t="s">
        <v>871</v>
      </c>
      <c r="C159" s="927" t="s">
        <v>811</v>
      </c>
      <c r="D159" s="447">
        <v>2001</v>
      </c>
      <c r="E159" s="447">
        <v>8</v>
      </c>
      <c r="F159" s="928" t="s">
        <v>1774</v>
      </c>
      <c r="G159" s="447">
        <v>16.7</v>
      </c>
      <c r="H159" s="447">
        <v>1.6</v>
      </c>
      <c r="I159" s="447">
        <v>19.2</v>
      </c>
      <c r="J159" s="447">
        <v>0</v>
      </c>
      <c r="K159" s="448"/>
      <c r="L159" s="332"/>
      <c r="M159" s="447"/>
      <c r="N159" s="447"/>
      <c r="O159" s="447"/>
      <c r="P159" s="447"/>
    </row>
    <row r="160" spans="1:16" ht="15">
      <c r="A160" s="925">
        <v>155</v>
      </c>
      <c r="B160" s="929" t="s">
        <v>872</v>
      </c>
      <c r="C160" s="927" t="s">
        <v>735</v>
      </c>
      <c r="D160" s="447">
        <v>2001</v>
      </c>
      <c r="E160" s="447">
        <v>10</v>
      </c>
      <c r="F160" s="928" t="s">
        <v>1774</v>
      </c>
      <c r="G160" s="447">
        <v>17.899999999999999</v>
      </c>
      <c r="H160" s="447"/>
      <c r="I160" s="447"/>
      <c r="J160" s="447">
        <v>0</v>
      </c>
      <c r="K160" s="448"/>
      <c r="L160" s="447"/>
      <c r="M160" s="447"/>
      <c r="N160" s="447"/>
      <c r="O160" s="447"/>
      <c r="P160" s="447"/>
    </row>
    <row r="161" spans="1:16" ht="15">
      <c r="A161" s="925">
        <v>156</v>
      </c>
      <c r="B161" s="929" t="s">
        <v>873</v>
      </c>
      <c r="C161" s="927" t="s">
        <v>684</v>
      </c>
      <c r="D161" s="447">
        <v>2002</v>
      </c>
      <c r="E161" s="447">
        <v>10</v>
      </c>
      <c r="F161" s="928" t="s">
        <v>1774</v>
      </c>
      <c r="G161" s="447">
        <v>17</v>
      </c>
      <c r="H161" s="447"/>
      <c r="I161" s="447"/>
      <c r="J161" s="447">
        <v>0</v>
      </c>
      <c r="K161" s="448"/>
      <c r="L161" s="447"/>
      <c r="M161" s="447"/>
      <c r="N161" s="447"/>
      <c r="O161" s="447"/>
      <c r="P161" s="447"/>
    </row>
    <row r="162" spans="1:16" ht="15">
      <c r="A162" s="925">
        <v>157</v>
      </c>
      <c r="B162" s="929" t="s">
        <v>874</v>
      </c>
      <c r="C162" s="927" t="s">
        <v>684</v>
      </c>
      <c r="D162" s="447">
        <v>2004</v>
      </c>
      <c r="E162" s="447">
        <v>10</v>
      </c>
      <c r="F162" s="928" t="s">
        <v>1774</v>
      </c>
      <c r="G162" s="447">
        <v>17</v>
      </c>
      <c r="H162" s="447"/>
      <c r="I162" s="447"/>
      <c r="J162" s="447">
        <v>0</v>
      </c>
      <c r="K162" s="448"/>
      <c r="L162" s="447"/>
      <c r="M162" s="447"/>
      <c r="N162" s="447"/>
      <c r="O162" s="447"/>
      <c r="P162" s="447"/>
    </row>
    <row r="163" spans="1:16" ht="15">
      <c r="A163" s="925">
        <v>158</v>
      </c>
      <c r="B163" s="929" t="s">
        <v>875</v>
      </c>
      <c r="C163" s="927" t="s">
        <v>684</v>
      </c>
      <c r="D163" s="447">
        <v>1996</v>
      </c>
      <c r="E163" s="447">
        <v>10</v>
      </c>
      <c r="F163" s="928" t="s">
        <v>1774</v>
      </c>
      <c r="G163" s="447">
        <v>17</v>
      </c>
      <c r="H163" s="447"/>
      <c r="I163" s="447"/>
      <c r="J163" s="447">
        <v>0</v>
      </c>
      <c r="K163" s="448"/>
      <c r="L163" s="447"/>
      <c r="M163" s="447"/>
      <c r="N163" s="447"/>
      <c r="O163" s="447"/>
      <c r="P163" s="447"/>
    </row>
    <row r="164" spans="1:16" ht="15">
      <c r="A164" s="925">
        <v>159</v>
      </c>
      <c r="B164" s="929" t="s">
        <v>876</v>
      </c>
      <c r="C164" s="927" t="s">
        <v>877</v>
      </c>
      <c r="D164" s="447">
        <v>2006</v>
      </c>
      <c r="E164" s="447">
        <v>10</v>
      </c>
      <c r="F164" s="928" t="s">
        <v>1774</v>
      </c>
      <c r="G164" s="447">
        <v>20.100000000000001</v>
      </c>
      <c r="H164" s="447"/>
      <c r="I164" s="447"/>
      <c r="J164" s="447">
        <v>157651.1</v>
      </c>
      <c r="K164" s="448"/>
      <c r="L164" s="447"/>
      <c r="M164" s="447"/>
      <c r="N164" s="447"/>
      <c r="O164" s="447"/>
      <c r="P164" s="447"/>
    </row>
    <row r="165" spans="1:16" ht="15">
      <c r="A165" s="925">
        <v>160</v>
      </c>
      <c r="B165" s="929" t="s">
        <v>878</v>
      </c>
      <c r="C165" s="927" t="s">
        <v>684</v>
      </c>
      <c r="D165" s="447">
        <v>2002</v>
      </c>
      <c r="E165" s="447">
        <v>10</v>
      </c>
      <c r="F165" s="928" t="s">
        <v>1774</v>
      </c>
      <c r="G165" s="447">
        <v>17</v>
      </c>
      <c r="H165" s="447"/>
      <c r="I165" s="447"/>
      <c r="J165" s="447">
        <v>0</v>
      </c>
      <c r="K165" s="448"/>
      <c r="L165" s="447"/>
      <c r="M165" s="447"/>
      <c r="N165" s="447"/>
      <c r="O165" s="447"/>
      <c r="P165" s="447"/>
    </row>
    <row r="166" spans="1:16" ht="15">
      <c r="A166" s="925">
        <v>161</v>
      </c>
      <c r="B166" s="929" t="s">
        <v>879</v>
      </c>
      <c r="C166" s="927" t="s">
        <v>684</v>
      </c>
      <c r="D166" s="447">
        <v>2008</v>
      </c>
      <c r="E166" s="447">
        <v>10</v>
      </c>
      <c r="F166" s="928" t="s">
        <v>1774</v>
      </c>
      <c r="G166" s="447">
        <v>17</v>
      </c>
      <c r="H166" s="447"/>
      <c r="I166" s="447"/>
      <c r="J166" s="447">
        <v>35067.57</v>
      </c>
      <c r="K166" s="448"/>
      <c r="L166" s="447"/>
      <c r="M166" s="447"/>
      <c r="N166" s="447"/>
      <c r="O166" s="447"/>
      <c r="P166" s="447"/>
    </row>
    <row r="167" spans="1:16" ht="15">
      <c r="A167" s="925">
        <v>162</v>
      </c>
      <c r="B167" s="929" t="s">
        <v>880</v>
      </c>
      <c r="C167" s="927" t="s">
        <v>680</v>
      </c>
      <c r="D167" s="447">
        <v>2011</v>
      </c>
      <c r="E167" s="447">
        <v>8</v>
      </c>
      <c r="F167" s="928" t="s">
        <v>1774</v>
      </c>
      <c r="G167" s="447">
        <v>11.5</v>
      </c>
      <c r="H167" s="447"/>
      <c r="I167" s="447"/>
      <c r="J167" s="447">
        <v>0</v>
      </c>
      <c r="K167" s="448"/>
      <c r="L167" s="447"/>
      <c r="M167" s="447"/>
      <c r="N167" s="447"/>
      <c r="O167" s="447"/>
      <c r="P167" s="447"/>
    </row>
    <row r="168" spans="1:16" ht="15">
      <c r="A168" s="925">
        <v>163</v>
      </c>
      <c r="B168" s="929" t="s">
        <v>881</v>
      </c>
      <c r="C168" s="927" t="s">
        <v>777</v>
      </c>
      <c r="D168" s="447">
        <v>2011</v>
      </c>
      <c r="E168" s="447">
        <v>10</v>
      </c>
      <c r="F168" s="928" t="s">
        <v>1774</v>
      </c>
      <c r="G168" s="447">
        <v>17</v>
      </c>
      <c r="H168" s="447"/>
      <c r="I168" s="447"/>
      <c r="J168" s="447">
        <v>0</v>
      </c>
      <c r="K168" s="448"/>
      <c r="L168" s="447"/>
      <c r="M168" s="447"/>
      <c r="N168" s="447"/>
      <c r="O168" s="447"/>
      <c r="P168" s="447"/>
    </row>
    <row r="169" spans="1:16" ht="15">
      <c r="A169" s="925">
        <v>164</v>
      </c>
      <c r="B169" s="929" t="s">
        <v>882</v>
      </c>
      <c r="C169" s="927" t="s">
        <v>735</v>
      </c>
      <c r="D169" s="447">
        <v>1998</v>
      </c>
      <c r="E169" s="447">
        <v>10</v>
      </c>
      <c r="F169" s="928" t="s">
        <v>1775</v>
      </c>
      <c r="G169" s="447">
        <v>16.5</v>
      </c>
      <c r="H169" s="447"/>
      <c r="I169" s="447"/>
      <c r="J169" s="447">
        <v>0</v>
      </c>
      <c r="K169" s="448"/>
      <c r="L169" s="447"/>
      <c r="M169" s="447"/>
      <c r="N169" s="447"/>
      <c r="O169" s="447"/>
      <c r="P169" s="447"/>
    </row>
    <row r="170" spans="1:16" ht="15">
      <c r="A170" s="925">
        <v>165</v>
      </c>
      <c r="B170" s="929" t="s">
        <v>883</v>
      </c>
      <c r="C170" s="927" t="s">
        <v>684</v>
      </c>
      <c r="D170" s="447">
        <v>2004</v>
      </c>
      <c r="E170" s="447">
        <v>10</v>
      </c>
      <c r="F170" s="928" t="s">
        <v>1775</v>
      </c>
      <c r="G170" s="447">
        <v>17</v>
      </c>
      <c r="H170" s="447"/>
      <c r="I170" s="447"/>
      <c r="J170" s="447">
        <v>0</v>
      </c>
      <c r="K170" s="448"/>
      <c r="L170" s="447"/>
      <c r="M170" s="447"/>
      <c r="N170" s="447"/>
      <c r="O170" s="447"/>
      <c r="P170" s="447"/>
    </row>
    <row r="171" spans="1:16" ht="15">
      <c r="A171" s="925">
        <v>166</v>
      </c>
      <c r="B171" s="929" t="s">
        <v>884</v>
      </c>
      <c r="C171" s="927" t="s">
        <v>885</v>
      </c>
      <c r="D171" s="447">
        <v>1988</v>
      </c>
      <c r="E171" s="447">
        <v>10</v>
      </c>
      <c r="F171" s="928" t="s">
        <v>1775</v>
      </c>
      <c r="G171" s="447">
        <v>46</v>
      </c>
      <c r="H171" s="447"/>
      <c r="I171" s="447"/>
      <c r="J171" s="447">
        <v>55595.45</v>
      </c>
      <c r="K171" s="448"/>
      <c r="L171" s="447"/>
      <c r="M171" s="447"/>
      <c r="N171" s="447"/>
      <c r="O171" s="447"/>
      <c r="P171" s="447"/>
    </row>
    <row r="172" spans="1:16" ht="15">
      <c r="A172" s="925">
        <v>167</v>
      </c>
      <c r="B172" s="929" t="s">
        <v>886</v>
      </c>
      <c r="C172" s="927" t="s">
        <v>887</v>
      </c>
      <c r="D172" s="447">
        <v>1983</v>
      </c>
      <c r="E172" s="447">
        <v>10</v>
      </c>
      <c r="F172" s="928" t="s">
        <v>1775</v>
      </c>
      <c r="G172" s="447">
        <v>31</v>
      </c>
      <c r="H172" s="447"/>
      <c r="I172" s="447"/>
      <c r="J172" s="447">
        <v>0</v>
      </c>
      <c r="K172" s="448"/>
      <c r="L172" s="447"/>
      <c r="M172" s="447"/>
      <c r="N172" s="447"/>
      <c r="O172" s="447"/>
      <c r="P172" s="447"/>
    </row>
    <row r="173" spans="1:16" ht="15">
      <c r="A173" s="925">
        <v>168</v>
      </c>
      <c r="B173" s="929" t="s">
        <v>888</v>
      </c>
      <c r="C173" s="927" t="s">
        <v>691</v>
      </c>
      <c r="D173" s="447">
        <v>1990</v>
      </c>
      <c r="E173" s="447">
        <v>10</v>
      </c>
      <c r="F173" s="928" t="s">
        <v>1775</v>
      </c>
      <c r="G173" s="447">
        <v>25</v>
      </c>
      <c r="H173" s="447">
        <v>2.1</v>
      </c>
      <c r="I173" s="447">
        <v>25.2</v>
      </c>
      <c r="J173" s="447">
        <v>0</v>
      </c>
      <c r="K173" s="448"/>
      <c r="L173" s="447"/>
      <c r="M173" s="447"/>
      <c r="N173" s="447"/>
      <c r="O173" s="447"/>
      <c r="P173" s="447"/>
    </row>
    <row r="174" spans="1:16" ht="15">
      <c r="A174" s="925">
        <v>169</v>
      </c>
      <c r="B174" s="929" t="s">
        <v>889</v>
      </c>
      <c r="C174" s="927" t="s">
        <v>684</v>
      </c>
      <c r="D174" s="447">
        <v>2004</v>
      </c>
      <c r="E174" s="447">
        <v>10</v>
      </c>
      <c r="F174" s="928" t="s">
        <v>1775</v>
      </c>
      <c r="G174" s="447">
        <v>17</v>
      </c>
      <c r="H174" s="447"/>
      <c r="I174" s="447"/>
      <c r="J174" s="447">
        <v>0</v>
      </c>
      <c r="K174" s="448"/>
      <c r="L174" s="447"/>
      <c r="M174" s="447"/>
      <c r="N174" s="447"/>
      <c r="O174" s="447"/>
      <c r="P174" s="447"/>
    </row>
    <row r="175" spans="1:16" ht="15">
      <c r="A175" s="925">
        <v>170</v>
      </c>
      <c r="B175" s="929" t="s">
        <v>890</v>
      </c>
      <c r="C175" s="927" t="s">
        <v>735</v>
      </c>
      <c r="D175" s="447">
        <v>2000</v>
      </c>
      <c r="E175" s="447">
        <v>10</v>
      </c>
      <c r="F175" s="928" t="s">
        <v>1775</v>
      </c>
      <c r="G175" s="447">
        <v>41</v>
      </c>
      <c r="H175" s="447"/>
      <c r="I175" s="447"/>
      <c r="J175" s="447">
        <v>0</v>
      </c>
      <c r="K175" s="448"/>
      <c r="L175" s="447"/>
      <c r="M175" s="447"/>
      <c r="N175" s="447"/>
      <c r="O175" s="447"/>
      <c r="P175" s="447"/>
    </row>
    <row r="176" spans="1:16" ht="15">
      <c r="A176" s="925">
        <v>171</v>
      </c>
      <c r="B176" s="929" t="s">
        <v>891</v>
      </c>
      <c r="C176" s="927" t="s">
        <v>822</v>
      </c>
      <c r="D176" s="447">
        <v>1989</v>
      </c>
      <c r="E176" s="447">
        <v>10</v>
      </c>
      <c r="F176" s="928" t="s">
        <v>1775</v>
      </c>
      <c r="G176" s="447">
        <v>29</v>
      </c>
      <c r="H176" s="447"/>
      <c r="I176" s="447"/>
      <c r="J176" s="447">
        <v>0</v>
      </c>
      <c r="K176" s="448"/>
      <c r="L176" s="447"/>
      <c r="M176" s="447"/>
      <c r="N176" s="447"/>
      <c r="O176" s="447"/>
      <c r="P176" s="447"/>
    </row>
    <row r="177" spans="1:16" ht="15">
      <c r="A177" s="925">
        <v>172</v>
      </c>
      <c r="B177" s="929" t="s">
        <v>892</v>
      </c>
      <c r="C177" s="927" t="s">
        <v>735</v>
      </c>
      <c r="D177" s="447">
        <v>1993</v>
      </c>
      <c r="E177" s="447">
        <v>10</v>
      </c>
      <c r="F177" s="928" t="s">
        <v>1775</v>
      </c>
      <c r="G177" s="447">
        <v>24.5</v>
      </c>
      <c r="H177" s="447"/>
      <c r="I177" s="447"/>
      <c r="J177" s="447">
        <v>0</v>
      </c>
      <c r="K177" s="448"/>
      <c r="L177" s="447"/>
      <c r="M177" s="447"/>
      <c r="N177" s="447"/>
      <c r="O177" s="447"/>
      <c r="P177" s="447"/>
    </row>
    <row r="178" spans="1:16" ht="15">
      <c r="A178" s="925">
        <v>173</v>
      </c>
      <c r="B178" s="929" t="s">
        <v>893</v>
      </c>
      <c r="C178" s="927" t="s">
        <v>809</v>
      </c>
      <c r="D178" s="447">
        <v>1993</v>
      </c>
      <c r="E178" s="447">
        <v>10</v>
      </c>
      <c r="F178" s="928" t="s">
        <v>1775</v>
      </c>
      <c r="G178" s="447">
        <v>40</v>
      </c>
      <c r="H178" s="447"/>
      <c r="I178" s="447"/>
      <c r="J178" s="447">
        <v>0</v>
      </c>
      <c r="K178" s="448"/>
      <c r="L178" s="447"/>
      <c r="M178" s="447"/>
      <c r="N178" s="447"/>
      <c r="O178" s="447"/>
      <c r="P178" s="447"/>
    </row>
    <row r="179" spans="1:16" ht="15">
      <c r="A179" s="925">
        <v>174</v>
      </c>
      <c r="B179" s="929" t="s">
        <v>894</v>
      </c>
      <c r="C179" s="927" t="s">
        <v>684</v>
      </c>
      <c r="D179" s="447">
        <v>1983</v>
      </c>
      <c r="E179" s="447">
        <v>10</v>
      </c>
      <c r="F179" s="928" t="s">
        <v>1775</v>
      </c>
      <c r="G179" s="447">
        <v>17.8</v>
      </c>
      <c r="H179" s="447"/>
      <c r="I179" s="447"/>
      <c r="J179" s="447">
        <v>0</v>
      </c>
      <c r="K179" s="448"/>
      <c r="L179" s="332"/>
      <c r="M179" s="447"/>
      <c r="N179" s="447"/>
      <c r="O179" s="447"/>
      <c r="P179" s="447"/>
    </row>
    <row r="180" spans="1:16" ht="15">
      <c r="A180" s="925">
        <v>175</v>
      </c>
      <c r="B180" s="929" t="s">
        <v>895</v>
      </c>
      <c r="C180" s="927" t="s">
        <v>684</v>
      </c>
      <c r="D180" s="447">
        <v>1999</v>
      </c>
      <c r="E180" s="447">
        <v>10</v>
      </c>
      <c r="F180" s="928" t="s">
        <v>1775</v>
      </c>
      <c r="G180" s="447">
        <v>17</v>
      </c>
      <c r="H180" s="447"/>
      <c r="I180" s="447"/>
      <c r="J180" s="447">
        <v>0</v>
      </c>
      <c r="K180" s="448"/>
      <c r="L180" s="447"/>
      <c r="M180" s="447"/>
      <c r="N180" s="447"/>
      <c r="O180" s="447"/>
      <c r="P180" s="447"/>
    </row>
    <row r="181" spans="1:16" ht="15">
      <c r="A181" s="925">
        <v>176</v>
      </c>
      <c r="B181" s="929" t="s">
        <v>896</v>
      </c>
      <c r="C181" s="927" t="s">
        <v>735</v>
      </c>
      <c r="D181" s="447">
        <v>2000</v>
      </c>
      <c r="E181" s="447">
        <v>10</v>
      </c>
      <c r="F181" s="928" t="s">
        <v>1775</v>
      </c>
      <c r="G181" s="447">
        <v>16.5</v>
      </c>
      <c r="H181" s="447"/>
      <c r="I181" s="447"/>
      <c r="J181" s="447">
        <v>0</v>
      </c>
      <c r="K181" s="448"/>
      <c r="L181" s="447"/>
      <c r="M181" s="447"/>
      <c r="N181" s="447"/>
      <c r="O181" s="447"/>
      <c r="P181" s="447"/>
    </row>
    <row r="182" spans="1:16" ht="15">
      <c r="A182" s="925">
        <v>177</v>
      </c>
      <c r="B182" s="929" t="s">
        <v>897</v>
      </c>
      <c r="C182" s="927" t="s">
        <v>735</v>
      </c>
      <c r="D182" s="447">
        <v>2001</v>
      </c>
      <c r="E182" s="447">
        <v>10</v>
      </c>
      <c r="F182" s="928" t="s">
        <v>1775</v>
      </c>
      <c r="G182" s="447">
        <v>17.899999999999999</v>
      </c>
      <c r="H182" s="447"/>
      <c r="I182" s="447"/>
      <c r="J182" s="447">
        <v>0</v>
      </c>
      <c r="K182" s="448"/>
      <c r="L182" s="447"/>
      <c r="M182" s="447"/>
      <c r="N182" s="447"/>
      <c r="O182" s="447"/>
      <c r="P182" s="447"/>
    </row>
    <row r="183" spans="1:16" ht="15">
      <c r="A183" s="925">
        <v>178</v>
      </c>
      <c r="B183" s="929" t="s">
        <v>898</v>
      </c>
      <c r="C183" s="927" t="s">
        <v>899</v>
      </c>
      <c r="D183" s="447">
        <v>2001</v>
      </c>
      <c r="E183" s="447">
        <v>8</v>
      </c>
      <c r="F183" s="928" t="s">
        <v>1775</v>
      </c>
      <c r="G183" s="447">
        <v>16.7</v>
      </c>
      <c r="H183" s="447"/>
      <c r="I183" s="447"/>
      <c r="J183" s="447">
        <v>0</v>
      </c>
      <c r="K183" s="448"/>
      <c r="L183" s="447"/>
      <c r="M183" s="447"/>
      <c r="N183" s="447"/>
      <c r="O183" s="447"/>
      <c r="P183" s="447"/>
    </row>
    <row r="184" spans="1:16" ht="15">
      <c r="A184" s="925">
        <v>179</v>
      </c>
      <c r="B184" s="929" t="s">
        <v>900</v>
      </c>
      <c r="C184" s="927" t="s">
        <v>684</v>
      </c>
      <c r="D184" s="447">
        <v>2004</v>
      </c>
      <c r="E184" s="447">
        <v>10</v>
      </c>
      <c r="F184" s="928" t="s">
        <v>1775</v>
      </c>
      <c r="G184" s="447">
        <v>17</v>
      </c>
      <c r="H184" s="447"/>
      <c r="I184" s="447"/>
      <c r="J184" s="447">
        <v>0</v>
      </c>
      <c r="K184" s="448"/>
      <c r="L184" s="447"/>
      <c r="M184" s="447"/>
      <c r="N184" s="447"/>
      <c r="O184" s="447"/>
      <c r="P184" s="447"/>
    </row>
    <row r="185" spans="1:16" ht="15">
      <c r="A185" s="925">
        <v>180</v>
      </c>
      <c r="B185" s="929" t="s">
        <v>901</v>
      </c>
      <c r="C185" s="927" t="s">
        <v>684</v>
      </c>
      <c r="D185" s="447">
        <v>2006</v>
      </c>
      <c r="E185" s="447">
        <v>10</v>
      </c>
      <c r="F185" s="928" t="s">
        <v>1775</v>
      </c>
      <c r="G185" s="447">
        <v>17</v>
      </c>
      <c r="H185" s="447"/>
      <c r="I185" s="447"/>
      <c r="J185" s="447">
        <v>13390.66</v>
      </c>
      <c r="K185" s="448"/>
      <c r="L185" s="447"/>
      <c r="M185" s="447"/>
      <c r="N185" s="447"/>
      <c r="O185" s="447"/>
      <c r="P185" s="447"/>
    </row>
    <row r="186" spans="1:16" ht="15">
      <c r="A186" s="925">
        <v>181</v>
      </c>
      <c r="B186" s="929" t="s">
        <v>902</v>
      </c>
      <c r="C186" s="927" t="s">
        <v>903</v>
      </c>
      <c r="D186" s="447">
        <v>1971</v>
      </c>
      <c r="E186" s="447">
        <v>10</v>
      </c>
      <c r="F186" s="928" t="s">
        <v>1775</v>
      </c>
      <c r="G186" s="447">
        <v>0</v>
      </c>
      <c r="H186" s="447"/>
      <c r="I186" s="447"/>
      <c r="J186" s="447">
        <v>0</v>
      </c>
      <c r="K186" s="448"/>
      <c r="L186" s="447"/>
      <c r="M186" s="447"/>
      <c r="N186" s="447"/>
      <c r="O186" s="447"/>
      <c r="P186" s="447"/>
    </row>
    <row r="187" spans="1:16" ht="15">
      <c r="A187" s="925">
        <v>182</v>
      </c>
      <c r="B187" s="929" t="s">
        <v>904</v>
      </c>
      <c r="C187" s="927" t="s">
        <v>779</v>
      </c>
      <c r="D187" s="447">
        <v>2007</v>
      </c>
      <c r="E187" s="447">
        <v>10</v>
      </c>
      <c r="F187" s="928" t="s">
        <v>1775</v>
      </c>
      <c r="G187" s="447">
        <v>17</v>
      </c>
      <c r="H187" s="447"/>
      <c r="I187" s="447"/>
      <c r="J187" s="447">
        <v>25800.46</v>
      </c>
      <c r="K187" s="448"/>
      <c r="L187" s="447"/>
      <c r="M187" s="447"/>
      <c r="N187" s="447"/>
      <c r="O187" s="447"/>
      <c r="P187" s="447"/>
    </row>
    <row r="188" spans="1:16" ht="15">
      <c r="A188" s="925">
        <v>183</v>
      </c>
      <c r="B188" s="929" t="s">
        <v>905</v>
      </c>
      <c r="C188" s="927" t="s">
        <v>680</v>
      </c>
      <c r="D188" s="447">
        <v>2007</v>
      </c>
      <c r="E188" s="447">
        <v>8</v>
      </c>
      <c r="F188" s="928" t="s">
        <v>1775</v>
      </c>
      <c r="G188" s="447">
        <v>8.4</v>
      </c>
      <c r="H188" s="447"/>
      <c r="I188" s="447"/>
      <c r="J188" s="447">
        <v>12070.29</v>
      </c>
      <c r="K188" s="448"/>
      <c r="L188" s="447"/>
      <c r="M188" s="447"/>
      <c r="N188" s="447"/>
      <c r="O188" s="447"/>
      <c r="P188" s="447"/>
    </row>
    <row r="189" spans="1:16" ht="15">
      <c r="A189" s="925">
        <v>184</v>
      </c>
      <c r="B189" s="929" t="s">
        <v>906</v>
      </c>
      <c r="C189" s="927" t="s">
        <v>684</v>
      </c>
      <c r="D189" s="447">
        <v>2009</v>
      </c>
      <c r="E189" s="447">
        <v>10</v>
      </c>
      <c r="F189" s="928" t="s">
        <v>1775</v>
      </c>
      <c r="G189" s="447">
        <v>17</v>
      </c>
      <c r="H189" s="447"/>
      <c r="I189" s="447"/>
      <c r="J189" s="447">
        <v>53957.7</v>
      </c>
      <c r="K189" s="448"/>
      <c r="L189" s="447"/>
      <c r="M189" s="447"/>
      <c r="N189" s="447"/>
      <c r="O189" s="447"/>
      <c r="P189" s="447"/>
    </row>
    <row r="190" spans="1:16" ht="15">
      <c r="A190" s="925">
        <v>185</v>
      </c>
      <c r="B190" s="929" t="s">
        <v>907</v>
      </c>
      <c r="C190" s="927" t="s">
        <v>908</v>
      </c>
      <c r="D190" s="447">
        <v>2008</v>
      </c>
      <c r="E190" s="447">
        <v>10</v>
      </c>
      <c r="F190" s="928" t="s">
        <v>1775</v>
      </c>
      <c r="G190" s="447">
        <v>17</v>
      </c>
      <c r="H190" s="447"/>
      <c r="I190" s="447"/>
      <c r="J190" s="447">
        <v>56786.52</v>
      </c>
      <c r="K190" s="448"/>
      <c r="L190" s="447"/>
      <c r="M190" s="447"/>
      <c r="N190" s="447"/>
      <c r="O190" s="447"/>
      <c r="P190" s="447"/>
    </row>
    <row r="191" spans="1:16" ht="15">
      <c r="A191" s="925">
        <v>186</v>
      </c>
      <c r="B191" s="929" t="s">
        <v>909</v>
      </c>
      <c r="C191" s="927" t="s">
        <v>680</v>
      </c>
      <c r="D191" s="447">
        <v>2010</v>
      </c>
      <c r="E191" s="447">
        <v>8</v>
      </c>
      <c r="F191" s="928" t="s">
        <v>1775</v>
      </c>
      <c r="G191" s="447">
        <v>11.5</v>
      </c>
      <c r="H191" s="447"/>
      <c r="I191" s="447"/>
      <c r="J191" s="447">
        <v>67778.37</v>
      </c>
      <c r="K191" s="448"/>
      <c r="L191" s="447"/>
      <c r="M191" s="447"/>
      <c r="N191" s="447"/>
      <c r="O191" s="447"/>
      <c r="P191" s="447"/>
    </row>
    <row r="192" spans="1:16" ht="15">
      <c r="A192" s="925">
        <v>187</v>
      </c>
      <c r="B192" s="934" t="s">
        <v>910</v>
      </c>
      <c r="C192" s="927" t="s">
        <v>908</v>
      </c>
      <c r="D192" s="447">
        <v>2011</v>
      </c>
      <c r="E192" s="447">
        <v>10</v>
      </c>
      <c r="F192" s="928" t="s">
        <v>1775</v>
      </c>
      <c r="G192" s="447">
        <v>17</v>
      </c>
      <c r="H192" s="447"/>
      <c r="I192" s="447"/>
      <c r="J192" s="447">
        <v>108798.93</v>
      </c>
      <c r="K192" s="448"/>
      <c r="L192" s="447"/>
      <c r="M192" s="447"/>
      <c r="N192" s="447"/>
      <c r="O192" s="447"/>
      <c r="P192" s="447"/>
    </row>
    <row r="193" spans="1:16" ht="15">
      <c r="A193" s="925">
        <v>188</v>
      </c>
      <c r="B193" s="929" t="s">
        <v>911</v>
      </c>
      <c r="C193" s="927" t="s">
        <v>811</v>
      </c>
      <c r="D193" s="447">
        <v>1999</v>
      </c>
      <c r="E193" s="447">
        <v>8</v>
      </c>
      <c r="F193" s="928" t="s">
        <v>1776</v>
      </c>
      <c r="G193" s="447">
        <v>11.5</v>
      </c>
      <c r="H193" s="447"/>
      <c r="I193" s="447"/>
      <c r="J193" s="447">
        <v>0</v>
      </c>
      <c r="K193" s="448"/>
      <c r="L193" s="447"/>
      <c r="M193" s="447"/>
      <c r="N193" s="447"/>
      <c r="O193" s="447"/>
      <c r="P193" s="447"/>
    </row>
    <row r="194" spans="1:16" ht="15">
      <c r="A194" s="925">
        <v>189</v>
      </c>
      <c r="B194" s="929" t="s">
        <v>912</v>
      </c>
      <c r="C194" s="927" t="s">
        <v>684</v>
      </c>
      <c r="D194" s="447">
        <v>2004</v>
      </c>
      <c r="E194" s="447">
        <v>10</v>
      </c>
      <c r="F194" s="928" t="s">
        <v>1776</v>
      </c>
      <c r="G194" s="447">
        <v>17</v>
      </c>
      <c r="H194" s="447"/>
      <c r="I194" s="447"/>
      <c r="J194" s="447">
        <v>0</v>
      </c>
      <c r="K194" s="448"/>
      <c r="L194" s="447"/>
      <c r="M194" s="447"/>
      <c r="N194" s="447"/>
      <c r="O194" s="447"/>
      <c r="P194" s="447"/>
    </row>
    <row r="195" spans="1:16" ht="15">
      <c r="A195" s="925">
        <v>190</v>
      </c>
      <c r="B195" s="929" t="s">
        <v>913</v>
      </c>
      <c r="C195" s="927" t="s">
        <v>764</v>
      </c>
      <c r="D195" s="447">
        <v>1986</v>
      </c>
      <c r="E195" s="447">
        <v>10</v>
      </c>
      <c r="F195" s="928" t="s">
        <v>1776</v>
      </c>
      <c r="G195" s="447">
        <v>0</v>
      </c>
      <c r="H195" s="447"/>
      <c r="I195" s="447"/>
      <c r="J195" s="447">
        <v>0</v>
      </c>
      <c r="K195" s="448"/>
      <c r="L195" s="447"/>
      <c r="M195" s="447"/>
      <c r="N195" s="447"/>
      <c r="O195" s="447"/>
      <c r="P195" s="447"/>
    </row>
    <row r="196" spans="1:16" ht="15">
      <c r="A196" s="925">
        <v>191</v>
      </c>
      <c r="B196" s="929" t="s">
        <v>914</v>
      </c>
      <c r="C196" s="927" t="s">
        <v>691</v>
      </c>
      <c r="D196" s="447">
        <v>1990</v>
      </c>
      <c r="E196" s="447">
        <v>10</v>
      </c>
      <c r="F196" s="928" t="s">
        <v>1776</v>
      </c>
      <c r="G196" s="447">
        <v>25</v>
      </c>
      <c r="H196" s="447"/>
      <c r="I196" s="447"/>
      <c r="J196" s="447">
        <v>0</v>
      </c>
      <c r="K196" s="448"/>
      <c r="L196" s="447"/>
      <c r="M196" s="447"/>
      <c r="N196" s="447"/>
      <c r="O196" s="447"/>
      <c r="P196" s="447"/>
    </row>
    <row r="197" spans="1:16" ht="26.25">
      <c r="A197" s="925">
        <v>192</v>
      </c>
      <c r="B197" s="929" t="s">
        <v>915</v>
      </c>
      <c r="C197" s="927" t="s">
        <v>822</v>
      </c>
      <c r="D197" s="447">
        <v>1988</v>
      </c>
      <c r="E197" s="447">
        <v>10</v>
      </c>
      <c r="F197" s="928" t="s">
        <v>1776</v>
      </c>
      <c r="G197" s="447">
        <v>26</v>
      </c>
      <c r="H197" s="447"/>
      <c r="I197" s="447"/>
      <c r="J197" s="447">
        <v>0</v>
      </c>
      <c r="K197" s="933" t="s">
        <v>537</v>
      </c>
      <c r="L197" s="447" t="s">
        <v>538</v>
      </c>
      <c r="M197" s="447" t="s">
        <v>539</v>
      </c>
      <c r="N197" s="447">
        <v>408.13</v>
      </c>
      <c r="O197" s="447">
        <v>20</v>
      </c>
      <c r="P197" s="447">
        <v>3</v>
      </c>
    </row>
    <row r="198" spans="1:16" ht="15">
      <c r="A198" s="925">
        <v>193</v>
      </c>
      <c r="B198" s="929" t="s">
        <v>916</v>
      </c>
      <c r="C198" s="927" t="s">
        <v>764</v>
      </c>
      <c r="D198" s="447">
        <v>1988</v>
      </c>
      <c r="E198" s="447">
        <v>10</v>
      </c>
      <c r="F198" s="928" t="s">
        <v>1776</v>
      </c>
      <c r="G198" s="447">
        <v>0</v>
      </c>
      <c r="H198" s="447"/>
      <c r="I198" s="447"/>
      <c r="J198" s="447">
        <v>0</v>
      </c>
      <c r="K198" s="448"/>
      <c r="L198" s="447"/>
      <c r="M198" s="447"/>
      <c r="N198" s="447"/>
      <c r="O198" s="447"/>
      <c r="P198" s="447"/>
    </row>
    <row r="199" spans="1:16" ht="15">
      <c r="A199" s="925">
        <v>194</v>
      </c>
      <c r="B199" s="929" t="s">
        <v>917</v>
      </c>
      <c r="C199" s="927" t="s">
        <v>735</v>
      </c>
      <c r="D199" s="447">
        <v>1993</v>
      </c>
      <c r="E199" s="447">
        <v>10</v>
      </c>
      <c r="F199" s="928" t="s">
        <v>1776</v>
      </c>
      <c r="G199" s="447">
        <v>22</v>
      </c>
      <c r="H199" s="447">
        <v>2.1</v>
      </c>
      <c r="I199" s="447">
        <v>25.2</v>
      </c>
      <c r="J199" s="447">
        <v>0</v>
      </c>
      <c r="K199" s="448"/>
      <c r="L199" s="447"/>
      <c r="M199" s="447"/>
      <c r="N199" s="447"/>
      <c r="O199" s="447"/>
      <c r="P199" s="447"/>
    </row>
    <row r="200" spans="1:16" ht="26.25">
      <c r="A200" s="925">
        <v>195</v>
      </c>
      <c r="B200" s="929" t="s">
        <v>918</v>
      </c>
      <c r="C200" s="927" t="s">
        <v>919</v>
      </c>
      <c r="D200" s="447">
        <v>1986</v>
      </c>
      <c r="E200" s="447">
        <v>10</v>
      </c>
      <c r="F200" s="928" t="s">
        <v>1776</v>
      </c>
      <c r="G200" s="447">
        <v>15.6</v>
      </c>
      <c r="H200" s="447"/>
      <c r="I200" s="447"/>
      <c r="J200" s="447">
        <v>152.38999999999999</v>
      </c>
      <c r="K200" s="933" t="s">
        <v>537</v>
      </c>
      <c r="L200" s="449" t="s">
        <v>540</v>
      </c>
      <c r="M200" s="447" t="s">
        <v>1204</v>
      </c>
      <c r="N200" s="447">
        <v>551.66999999999996</v>
      </c>
      <c r="O200" s="447">
        <v>15.6</v>
      </c>
      <c r="P200" s="447">
        <v>3</v>
      </c>
    </row>
    <row r="201" spans="1:16" ht="15">
      <c r="A201" s="925">
        <v>196</v>
      </c>
      <c r="B201" s="929" t="s">
        <v>920</v>
      </c>
      <c r="C201" s="927" t="s">
        <v>691</v>
      </c>
      <c r="D201" s="447">
        <v>1990</v>
      </c>
      <c r="E201" s="447">
        <v>10</v>
      </c>
      <c r="F201" s="928" t="s">
        <v>1776</v>
      </c>
      <c r="G201" s="447">
        <v>25</v>
      </c>
      <c r="H201" s="447">
        <v>2.1</v>
      </c>
      <c r="I201" s="447">
        <v>25.2</v>
      </c>
      <c r="J201" s="447">
        <v>0</v>
      </c>
      <c r="K201" s="448"/>
      <c r="L201" s="447"/>
      <c r="M201" s="447"/>
      <c r="N201" s="447"/>
      <c r="O201" s="447"/>
      <c r="P201" s="447"/>
    </row>
    <row r="202" spans="1:16" ht="15">
      <c r="A202" s="925">
        <v>197</v>
      </c>
      <c r="B202" s="929" t="s">
        <v>921</v>
      </c>
      <c r="C202" s="927" t="s">
        <v>827</v>
      </c>
      <c r="D202" s="447">
        <v>1992</v>
      </c>
      <c r="E202" s="447">
        <v>10</v>
      </c>
      <c r="F202" s="928" t="s">
        <v>1776</v>
      </c>
      <c r="G202" s="447">
        <v>4.8</v>
      </c>
      <c r="H202" s="447"/>
      <c r="I202" s="447"/>
      <c r="J202" s="447">
        <v>0</v>
      </c>
      <c r="K202" s="448"/>
      <c r="L202" s="447"/>
      <c r="M202" s="447"/>
      <c r="N202" s="447"/>
      <c r="O202" s="447"/>
      <c r="P202" s="447"/>
    </row>
    <row r="203" spans="1:16" ht="15">
      <c r="A203" s="925">
        <v>198</v>
      </c>
      <c r="B203" s="929" t="s">
        <v>922</v>
      </c>
      <c r="C203" s="927" t="s">
        <v>684</v>
      </c>
      <c r="D203" s="447">
        <v>1998</v>
      </c>
      <c r="E203" s="447">
        <v>10</v>
      </c>
      <c r="F203" s="928" t="s">
        <v>1776</v>
      </c>
      <c r="G203" s="447">
        <v>18.3</v>
      </c>
      <c r="H203" s="447"/>
      <c r="I203" s="447"/>
      <c r="J203" s="447">
        <v>0</v>
      </c>
      <c r="K203" s="451"/>
      <c r="L203" s="332"/>
      <c r="M203" s="332"/>
      <c r="N203" s="332"/>
      <c r="O203" s="332"/>
      <c r="P203" s="332"/>
    </row>
    <row r="204" spans="1:16" ht="15">
      <c r="A204" s="925">
        <v>199</v>
      </c>
      <c r="B204" s="929" t="s">
        <v>923</v>
      </c>
      <c r="C204" s="927" t="s">
        <v>735</v>
      </c>
      <c r="D204" s="447">
        <v>2000</v>
      </c>
      <c r="E204" s="447">
        <v>10</v>
      </c>
      <c r="F204" s="928" t="s">
        <v>1776</v>
      </c>
      <c r="G204" s="447">
        <v>17.899999999999999</v>
      </c>
      <c r="H204" s="447"/>
      <c r="I204" s="447"/>
      <c r="J204" s="447">
        <v>0</v>
      </c>
      <c r="K204" s="448"/>
      <c r="L204" s="447"/>
      <c r="M204" s="447"/>
      <c r="N204" s="447"/>
      <c r="O204" s="447"/>
      <c r="P204" s="447"/>
    </row>
    <row r="205" spans="1:16" ht="15">
      <c r="A205" s="925">
        <v>200</v>
      </c>
      <c r="B205" s="929" t="s">
        <v>924</v>
      </c>
      <c r="C205" s="927" t="s">
        <v>684</v>
      </c>
      <c r="D205" s="447">
        <v>2001</v>
      </c>
      <c r="E205" s="447">
        <v>10</v>
      </c>
      <c r="F205" s="928" t="s">
        <v>1776</v>
      </c>
      <c r="G205" s="447">
        <v>17</v>
      </c>
      <c r="H205" s="447"/>
      <c r="I205" s="447"/>
      <c r="J205" s="447">
        <v>0</v>
      </c>
      <c r="K205" s="448"/>
      <c r="L205" s="447"/>
      <c r="M205" s="447"/>
      <c r="N205" s="447"/>
      <c r="O205" s="447"/>
      <c r="P205" s="447"/>
    </row>
    <row r="206" spans="1:16" ht="15">
      <c r="A206" s="925">
        <v>201</v>
      </c>
      <c r="B206" s="929" t="s">
        <v>925</v>
      </c>
      <c r="C206" s="927" t="s">
        <v>684</v>
      </c>
      <c r="D206" s="447">
        <v>2002</v>
      </c>
      <c r="E206" s="447">
        <v>10</v>
      </c>
      <c r="F206" s="928" t="s">
        <v>1776</v>
      </c>
      <c r="G206" s="447">
        <v>17</v>
      </c>
      <c r="H206" s="447"/>
      <c r="I206" s="447"/>
      <c r="J206" s="447">
        <v>0</v>
      </c>
      <c r="K206" s="448"/>
      <c r="L206" s="447"/>
      <c r="M206" s="447"/>
      <c r="N206" s="447"/>
      <c r="O206" s="447"/>
      <c r="P206" s="447"/>
    </row>
    <row r="207" spans="1:16" ht="15">
      <c r="A207" s="925">
        <v>202</v>
      </c>
      <c r="B207" s="929" t="s">
        <v>926</v>
      </c>
      <c r="C207" s="927" t="s">
        <v>811</v>
      </c>
      <c r="D207" s="447">
        <v>1997</v>
      </c>
      <c r="E207" s="447">
        <v>8</v>
      </c>
      <c r="F207" s="928" t="s">
        <v>1776</v>
      </c>
      <c r="G207" s="447">
        <v>11.5</v>
      </c>
      <c r="H207" s="447"/>
      <c r="I207" s="447"/>
      <c r="J207" s="447">
        <v>0</v>
      </c>
      <c r="K207" s="448"/>
      <c r="L207" s="447"/>
      <c r="M207" s="447"/>
      <c r="N207" s="447"/>
      <c r="O207" s="447"/>
      <c r="P207" s="447"/>
    </row>
    <row r="208" spans="1:16" ht="15">
      <c r="A208" s="925">
        <v>203</v>
      </c>
      <c r="B208" s="929" t="s">
        <v>927</v>
      </c>
      <c r="C208" s="927" t="s">
        <v>684</v>
      </c>
      <c r="D208" s="447">
        <v>2006</v>
      </c>
      <c r="E208" s="447">
        <v>10</v>
      </c>
      <c r="F208" s="928" t="s">
        <v>1776</v>
      </c>
      <c r="G208" s="447">
        <v>17</v>
      </c>
      <c r="H208" s="447"/>
      <c r="I208" s="447"/>
      <c r="J208" s="447">
        <v>13425.45</v>
      </c>
      <c r="K208" s="448"/>
      <c r="L208" s="447"/>
      <c r="M208" s="447"/>
      <c r="N208" s="447"/>
      <c r="O208" s="447"/>
      <c r="P208" s="447"/>
    </row>
    <row r="209" spans="1:16" ht="15">
      <c r="A209" s="925">
        <v>204</v>
      </c>
      <c r="B209" s="929" t="s">
        <v>928</v>
      </c>
      <c r="C209" s="927" t="s">
        <v>753</v>
      </c>
      <c r="D209" s="447">
        <v>1989</v>
      </c>
      <c r="E209" s="447">
        <v>10</v>
      </c>
      <c r="F209" s="928" t="s">
        <v>1776</v>
      </c>
      <c r="G209" s="447">
        <v>46</v>
      </c>
      <c r="H209" s="447"/>
      <c r="I209" s="447"/>
      <c r="J209" s="447">
        <v>47955.02</v>
      </c>
      <c r="K209" s="448"/>
      <c r="L209" s="447"/>
      <c r="M209" s="447"/>
      <c r="N209" s="447"/>
      <c r="O209" s="447"/>
      <c r="P209" s="447"/>
    </row>
    <row r="210" spans="1:16" ht="15">
      <c r="A210" s="925">
        <v>205</v>
      </c>
      <c r="B210" s="929" t="s">
        <v>929</v>
      </c>
      <c r="C210" s="927" t="s">
        <v>779</v>
      </c>
      <c r="D210" s="447">
        <v>2008</v>
      </c>
      <c r="E210" s="447">
        <v>10</v>
      </c>
      <c r="F210" s="928" t="s">
        <v>1776</v>
      </c>
      <c r="G210" s="447">
        <v>17</v>
      </c>
      <c r="H210" s="447"/>
      <c r="I210" s="447"/>
      <c r="J210" s="447">
        <v>35067.58</v>
      </c>
      <c r="K210" s="448"/>
      <c r="L210" s="447"/>
      <c r="M210" s="447"/>
      <c r="N210" s="447"/>
      <c r="O210" s="447"/>
      <c r="P210" s="447"/>
    </row>
    <row r="211" spans="1:16" ht="15">
      <c r="A211" s="925">
        <v>206</v>
      </c>
      <c r="B211" s="929" t="s">
        <v>930</v>
      </c>
      <c r="C211" s="927" t="s">
        <v>784</v>
      </c>
      <c r="D211" s="447">
        <v>2007</v>
      </c>
      <c r="E211" s="447">
        <v>10</v>
      </c>
      <c r="F211" s="928" t="s">
        <v>1776</v>
      </c>
      <c r="G211" s="447">
        <v>22.7</v>
      </c>
      <c r="H211" s="447"/>
      <c r="I211" s="447"/>
      <c r="J211" s="447">
        <v>81160.53</v>
      </c>
      <c r="K211" s="448"/>
      <c r="L211" s="447"/>
      <c r="M211" s="447"/>
      <c r="N211" s="447"/>
      <c r="O211" s="447"/>
      <c r="P211" s="447"/>
    </row>
    <row r="212" spans="1:16" ht="15">
      <c r="A212" s="925">
        <v>207</v>
      </c>
      <c r="B212" s="929" t="s">
        <v>931</v>
      </c>
      <c r="C212" s="927" t="s">
        <v>919</v>
      </c>
      <c r="D212" s="447">
        <v>2007</v>
      </c>
      <c r="E212" s="447">
        <v>10</v>
      </c>
      <c r="F212" s="928" t="s">
        <v>1776</v>
      </c>
      <c r="G212" s="447">
        <v>18.5</v>
      </c>
      <c r="H212" s="447"/>
      <c r="I212" s="447"/>
      <c r="J212" s="447">
        <v>251440.83</v>
      </c>
      <c r="K212" s="448"/>
      <c r="L212" s="447"/>
      <c r="M212" s="447"/>
      <c r="N212" s="447"/>
      <c r="O212" s="447"/>
      <c r="P212" s="447"/>
    </row>
    <row r="213" spans="1:16" ht="15">
      <c r="A213" s="925">
        <v>208</v>
      </c>
      <c r="B213" s="929" t="s">
        <v>932</v>
      </c>
      <c r="C213" s="927" t="s">
        <v>933</v>
      </c>
      <c r="D213" s="447">
        <v>2008</v>
      </c>
      <c r="E213" s="447">
        <v>8</v>
      </c>
      <c r="F213" s="928" t="s">
        <v>1776</v>
      </c>
      <c r="G213" s="447">
        <v>11.5</v>
      </c>
      <c r="H213" s="447"/>
      <c r="I213" s="447"/>
      <c r="J213" s="447">
        <v>49104.71</v>
      </c>
      <c r="K213" s="448"/>
      <c r="L213" s="447"/>
      <c r="M213" s="447"/>
      <c r="N213" s="447"/>
      <c r="O213" s="447"/>
      <c r="P213" s="447"/>
    </row>
    <row r="214" spans="1:16" ht="15">
      <c r="A214" s="925">
        <v>209</v>
      </c>
      <c r="B214" s="929" t="s">
        <v>934</v>
      </c>
      <c r="C214" s="927" t="s">
        <v>779</v>
      </c>
      <c r="D214" s="447">
        <v>2011</v>
      </c>
      <c r="E214" s="447">
        <v>10</v>
      </c>
      <c r="F214" s="928" t="s">
        <v>1776</v>
      </c>
      <c r="G214" s="447">
        <v>17</v>
      </c>
      <c r="H214" s="447"/>
      <c r="I214" s="447"/>
      <c r="J214" s="447">
        <v>0</v>
      </c>
      <c r="K214" s="448"/>
      <c r="L214" s="447"/>
      <c r="M214" s="447"/>
      <c r="N214" s="447"/>
      <c r="O214" s="447"/>
      <c r="P214" s="447"/>
    </row>
    <row r="215" spans="1:16" ht="15">
      <c r="A215" s="925">
        <v>210</v>
      </c>
      <c r="B215" s="929" t="s">
        <v>935</v>
      </c>
      <c r="C215" s="927" t="s">
        <v>735</v>
      </c>
      <c r="D215" s="447">
        <v>2011</v>
      </c>
      <c r="E215" s="447">
        <v>10</v>
      </c>
      <c r="F215" s="928" t="s">
        <v>1776</v>
      </c>
      <c r="G215" s="447">
        <v>17.899999999999999</v>
      </c>
      <c r="H215" s="447"/>
      <c r="I215" s="447"/>
      <c r="J215" s="447">
        <v>0</v>
      </c>
      <c r="K215" s="448"/>
      <c r="L215" s="447"/>
      <c r="M215" s="447"/>
      <c r="N215" s="447"/>
      <c r="O215" s="447"/>
      <c r="P215" s="447"/>
    </row>
    <row r="216" spans="1:16" ht="15">
      <c r="A216" s="925">
        <v>211</v>
      </c>
      <c r="B216" s="929" t="s">
        <v>936</v>
      </c>
      <c r="C216" s="927" t="s">
        <v>684</v>
      </c>
      <c r="D216" s="447">
        <v>2005</v>
      </c>
      <c r="E216" s="447">
        <v>10</v>
      </c>
      <c r="F216" s="928" t="s">
        <v>1777</v>
      </c>
      <c r="G216" s="447">
        <v>17</v>
      </c>
      <c r="H216" s="447"/>
      <c r="I216" s="447"/>
      <c r="J216" s="447">
        <v>10824.4</v>
      </c>
      <c r="K216" s="448"/>
      <c r="L216" s="447"/>
      <c r="M216" s="447"/>
      <c r="N216" s="447"/>
      <c r="O216" s="447"/>
      <c r="P216" s="447"/>
    </row>
    <row r="217" spans="1:16" ht="15">
      <c r="A217" s="925">
        <v>212</v>
      </c>
      <c r="B217" s="929" t="s">
        <v>937</v>
      </c>
      <c r="C217" s="927" t="s">
        <v>938</v>
      </c>
      <c r="D217" s="447">
        <v>2004</v>
      </c>
      <c r="E217" s="447">
        <v>10</v>
      </c>
      <c r="F217" s="928" t="s">
        <v>1777</v>
      </c>
      <c r="G217" s="447">
        <v>39</v>
      </c>
      <c r="H217" s="447"/>
      <c r="I217" s="447"/>
      <c r="J217" s="447">
        <v>70140.490000000005</v>
      </c>
      <c r="K217" s="448"/>
      <c r="L217" s="447"/>
      <c r="M217" s="447"/>
      <c r="N217" s="447"/>
      <c r="O217" s="447"/>
      <c r="P217" s="447"/>
    </row>
    <row r="218" spans="1:16" ht="15">
      <c r="A218" s="925">
        <v>213</v>
      </c>
      <c r="B218" s="929" t="s">
        <v>939</v>
      </c>
      <c r="C218" s="927" t="s">
        <v>677</v>
      </c>
      <c r="D218" s="447">
        <v>2005</v>
      </c>
      <c r="E218" s="447">
        <v>8</v>
      </c>
      <c r="F218" s="928" t="s">
        <v>1777</v>
      </c>
      <c r="G218" s="447">
        <v>11.5</v>
      </c>
      <c r="H218" s="447"/>
      <c r="I218" s="447"/>
      <c r="J218" s="447">
        <v>0</v>
      </c>
      <c r="K218" s="448"/>
      <c r="L218" s="447"/>
      <c r="M218" s="447"/>
      <c r="N218" s="447"/>
      <c r="O218" s="447"/>
      <c r="P218" s="447"/>
    </row>
    <row r="219" spans="1:16" ht="15">
      <c r="A219" s="925">
        <v>214</v>
      </c>
      <c r="B219" s="929" t="s">
        <v>940</v>
      </c>
      <c r="C219" s="927" t="s">
        <v>684</v>
      </c>
      <c r="D219" s="447">
        <v>2004</v>
      </c>
      <c r="E219" s="447">
        <v>10</v>
      </c>
      <c r="F219" s="928" t="s">
        <v>1777</v>
      </c>
      <c r="G219" s="447">
        <v>17</v>
      </c>
      <c r="H219" s="447"/>
      <c r="I219" s="447"/>
      <c r="J219" s="447">
        <v>0</v>
      </c>
      <c r="K219" s="448"/>
      <c r="L219" s="447"/>
      <c r="M219" s="447"/>
      <c r="N219" s="447"/>
      <c r="O219" s="447"/>
      <c r="P219" s="447"/>
    </row>
    <row r="220" spans="1:16" ht="15">
      <c r="A220" s="925">
        <v>215</v>
      </c>
      <c r="B220" s="929" t="s">
        <v>941</v>
      </c>
      <c r="C220" s="927" t="s">
        <v>684</v>
      </c>
      <c r="D220" s="447">
        <v>2004</v>
      </c>
      <c r="E220" s="447">
        <v>10</v>
      </c>
      <c r="F220" s="928" t="s">
        <v>1777</v>
      </c>
      <c r="G220" s="447">
        <v>17</v>
      </c>
      <c r="H220" s="447"/>
      <c r="I220" s="447"/>
      <c r="J220" s="447">
        <v>0</v>
      </c>
      <c r="K220" s="448"/>
      <c r="L220" s="447"/>
      <c r="M220" s="447"/>
      <c r="N220" s="447"/>
      <c r="O220" s="447"/>
      <c r="P220" s="447"/>
    </row>
    <row r="221" spans="1:16" ht="15">
      <c r="A221" s="925">
        <v>216</v>
      </c>
      <c r="B221" s="929" t="s">
        <v>942</v>
      </c>
      <c r="C221" s="927" t="s">
        <v>827</v>
      </c>
      <c r="D221" s="447">
        <v>1993</v>
      </c>
      <c r="E221" s="447">
        <v>10</v>
      </c>
      <c r="F221" s="928" t="s">
        <v>1777</v>
      </c>
      <c r="G221" s="447">
        <v>7.8</v>
      </c>
      <c r="H221" s="447"/>
      <c r="I221" s="447"/>
      <c r="J221" s="447">
        <v>0</v>
      </c>
      <c r="K221" s="448"/>
      <c r="L221" s="447"/>
      <c r="M221" s="447"/>
      <c r="N221" s="447"/>
      <c r="O221" s="447"/>
      <c r="P221" s="447"/>
    </row>
    <row r="222" spans="1:16" ht="15">
      <c r="A222" s="925">
        <v>217</v>
      </c>
      <c r="B222" s="929" t="s">
        <v>943</v>
      </c>
      <c r="C222" s="927" t="s">
        <v>735</v>
      </c>
      <c r="D222" s="447">
        <v>1992</v>
      </c>
      <c r="E222" s="447">
        <v>10</v>
      </c>
      <c r="F222" s="928" t="s">
        <v>1777</v>
      </c>
      <c r="G222" s="447">
        <v>24.5</v>
      </c>
      <c r="H222" s="447"/>
      <c r="I222" s="447"/>
      <c r="J222" s="447">
        <v>0</v>
      </c>
      <c r="K222" s="448"/>
      <c r="L222" s="447"/>
      <c r="M222" s="447"/>
      <c r="N222" s="447"/>
      <c r="O222" s="447"/>
      <c r="P222" s="447"/>
    </row>
    <row r="223" spans="1:16" ht="15">
      <c r="A223" s="925">
        <v>218</v>
      </c>
      <c r="B223" s="929" t="s">
        <v>944</v>
      </c>
      <c r="C223" s="927" t="s">
        <v>827</v>
      </c>
      <c r="D223" s="447">
        <v>1991</v>
      </c>
      <c r="E223" s="447">
        <v>10</v>
      </c>
      <c r="F223" s="928" t="s">
        <v>1777</v>
      </c>
      <c r="G223" s="447">
        <v>4.8</v>
      </c>
      <c r="H223" s="447"/>
      <c r="I223" s="447"/>
      <c r="J223" s="447">
        <v>0</v>
      </c>
      <c r="K223" s="448"/>
      <c r="L223" s="447"/>
      <c r="M223" s="447"/>
      <c r="N223" s="447"/>
      <c r="O223" s="447"/>
      <c r="P223" s="447"/>
    </row>
    <row r="224" spans="1:16" ht="15">
      <c r="A224" s="925">
        <v>219</v>
      </c>
      <c r="B224" s="929" t="s">
        <v>945</v>
      </c>
      <c r="C224" s="927" t="s">
        <v>735</v>
      </c>
      <c r="D224" s="447">
        <v>2000</v>
      </c>
      <c r="E224" s="447">
        <v>10</v>
      </c>
      <c r="F224" s="928" t="s">
        <v>1777</v>
      </c>
      <c r="G224" s="447">
        <v>17.899999999999999</v>
      </c>
      <c r="H224" s="447"/>
      <c r="I224" s="447"/>
      <c r="J224" s="447">
        <v>0</v>
      </c>
      <c r="K224" s="448"/>
      <c r="L224" s="447"/>
      <c r="M224" s="447"/>
      <c r="N224" s="447"/>
      <c r="O224" s="447"/>
      <c r="P224" s="447"/>
    </row>
    <row r="225" spans="1:16" ht="15">
      <c r="A225" s="925">
        <v>220</v>
      </c>
      <c r="B225" s="929" t="s">
        <v>946</v>
      </c>
      <c r="C225" s="927" t="s">
        <v>677</v>
      </c>
      <c r="D225" s="447">
        <v>1991</v>
      </c>
      <c r="E225" s="447">
        <v>8</v>
      </c>
      <c r="F225" s="928" t="s">
        <v>1777</v>
      </c>
      <c r="G225" s="447">
        <v>13.5</v>
      </c>
      <c r="H225" s="447"/>
      <c r="I225" s="447"/>
      <c r="J225" s="447">
        <v>0</v>
      </c>
      <c r="K225" s="448"/>
      <c r="L225" s="447"/>
      <c r="M225" s="447"/>
      <c r="N225" s="447"/>
      <c r="O225" s="447"/>
      <c r="P225" s="447"/>
    </row>
    <row r="226" spans="1:16" ht="15">
      <c r="A226" s="925">
        <v>221</v>
      </c>
      <c r="B226" s="929" t="s">
        <v>947</v>
      </c>
      <c r="C226" s="927" t="s">
        <v>702</v>
      </c>
      <c r="D226" s="447">
        <v>1999</v>
      </c>
      <c r="E226" s="447">
        <v>10</v>
      </c>
      <c r="F226" s="928" t="s">
        <v>1777</v>
      </c>
      <c r="G226" s="447">
        <v>17.8</v>
      </c>
      <c r="H226" s="447"/>
      <c r="I226" s="447"/>
      <c r="J226" s="447">
        <v>0</v>
      </c>
      <c r="K226" s="448"/>
      <c r="L226" s="447"/>
      <c r="M226" s="447"/>
      <c r="N226" s="447"/>
      <c r="O226" s="447"/>
      <c r="P226" s="447"/>
    </row>
    <row r="227" spans="1:16" ht="15">
      <c r="A227" s="925">
        <v>222</v>
      </c>
      <c r="B227" s="929" t="s">
        <v>948</v>
      </c>
      <c r="C227" s="927" t="s">
        <v>779</v>
      </c>
      <c r="D227" s="447">
        <v>2008</v>
      </c>
      <c r="E227" s="447">
        <v>10</v>
      </c>
      <c r="F227" s="928" t="s">
        <v>1777</v>
      </c>
      <c r="G227" s="447">
        <v>17</v>
      </c>
      <c r="H227" s="447"/>
      <c r="I227" s="447"/>
      <c r="J227" s="447">
        <v>35164.050000000003</v>
      </c>
      <c r="K227" s="448"/>
      <c r="L227" s="447"/>
      <c r="M227" s="447"/>
      <c r="N227" s="447"/>
      <c r="O227" s="447"/>
      <c r="P227" s="447"/>
    </row>
    <row r="228" spans="1:16" ht="15">
      <c r="A228" s="925">
        <v>223</v>
      </c>
      <c r="B228" s="929" t="s">
        <v>949</v>
      </c>
      <c r="C228" s="927" t="s">
        <v>908</v>
      </c>
      <c r="D228" s="447">
        <v>2008</v>
      </c>
      <c r="E228" s="447">
        <v>10</v>
      </c>
      <c r="F228" s="928" t="s">
        <v>1777</v>
      </c>
      <c r="G228" s="447">
        <v>17</v>
      </c>
      <c r="H228" s="447"/>
      <c r="I228" s="447"/>
      <c r="J228" s="447">
        <v>56786.5</v>
      </c>
      <c r="K228" s="448"/>
      <c r="L228" s="447"/>
      <c r="M228" s="447"/>
      <c r="N228" s="447"/>
      <c r="O228" s="447"/>
      <c r="P228" s="447"/>
    </row>
    <row r="229" spans="1:16" ht="15">
      <c r="A229" s="925">
        <v>224</v>
      </c>
      <c r="B229" s="929" t="s">
        <v>950</v>
      </c>
      <c r="C229" s="927" t="s">
        <v>951</v>
      </c>
      <c r="D229" s="447">
        <v>2010</v>
      </c>
      <c r="E229" s="447">
        <v>10</v>
      </c>
      <c r="F229" s="928" t="s">
        <v>1777</v>
      </c>
      <c r="G229" s="447">
        <v>15.6</v>
      </c>
      <c r="H229" s="447"/>
      <c r="I229" s="447"/>
      <c r="J229" s="447">
        <v>378814.17</v>
      </c>
      <c r="K229" s="448"/>
      <c r="L229" s="447"/>
      <c r="M229" s="447"/>
      <c r="N229" s="447"/>
      <c r="O229" s="447"/>
      <c r="P229" s="447"/>
    </row>
    <row r="230" spans="1:16" ht="15">
      <c r="A230" s="925">
        <v>225</v>
      </c>
      <c r="B230" s="934" t="s">
        <v>952</v>
      </c>
      <c r="C230" s="927" t="s">
        <v>779</v>
      </c>
      <c r="D230" s="447">
        <v>2011</v>
      </c>
      <c r="E230" s="447">
        <v>10</v>
      </c>
      <c r="F230" s="928" t="s">
        <v>1777</v>
      </c>
      <c r="G230" s="447">
        <v>17</v>
      </c>
      <c r="H230" s="447"/>
      <c r="I230" s="447"/>
      <c r="J230" s="447">
        <v>108798.93</v>
      </c>
      <c r="K230" s="448"/>
      <c r="L230" s="447"/>
      <c r="M230" s="447"/>
      <c r="N230" s="447"/>
      <c r="O230" s="447"/>
      <c r="P230" s="447"/>
    </row>
    <row r="231" spans="1:16" ht="15">
      <c r="A231" s="925">
        <v>226</v>
      </c>
      <c r="B231" s="934" t="s">
        <v>953</v>
      </c>
      <c r="C231" s="927" t="s">
        <v>779</v>
      </c>
      <c r="D231" s="447">
        <v>2011</v>
      </c>
      <c r="E231" s="447">
        <v>10</v>
      </c>
      <c r="F231" s="928" t="s">
        <v>1777</v>
      </c>
      <c r="G231" s="447">
        <v>18.100000000000001</v>
      </c>
      <c r="H231" s="447"/>
      <c r="I231" s="447"/>
      <c r="J231" s="447">
        <v>117664.02</v>
      </c>
      <c r="K231" s="448"/>
      <c r="L231" s="447"/>
      <c r="M231" s="447"/>
      <c r="N231" s="447"/>
      <c r="O231" s="447"/>
      <c r="P231" s="447"/>
    </row>
    <row r="232" spans="1:16" ht="15">
      <c r="A232" s="925">
        <v>227</v>
      </c>
      <c r="B232" s="934" t="s">
        <v>954</v>
      </c>
      <c r="C232" s="927" t="s">
        <v>677</v>
      </c>
      <c r="D232" s="447">
        <v>2012</v>
      </c>
      <c r="E232" s="447">
        <v>8</v>
      </c>
      <c r="F232" s="928" t="s">
        <v>1777</v>
      </c>
      <c r="G232" s="447">
        <v>11.5</v>
      </c>
      <c r="H232" s="447"/>
      <c r="I232" s="447"/>
      <c r="J232" s="447">
        <v>71625</v>
      </c>
      <c r="K232" s="448"/>
      <c r="L232" s="447"/>
      <c r="M232" s="447"/>
      <c r="N232" s="447"/>
      <c r="O232" s="447"/>
      <c r="P232" s="447"/>
    </row>
    <row r="233" spans="1:16" ht="15">
      <c r="A233" s="925">
        <v>228</v>
      </c>
      <c r="B233" s="934" t="s">
        <v>954</v>
      </c>
      <c r="C233" s="927" t="s">
        <v>677</v>
      </c>
      <c r="D233" s="447">
        <v>2012</v>
      </c>
      <c r="E233" s="447">
        <v>8</v>
      </c>
      <c r="F233" s="928" t="s">
        <v>1777</v>
      </c>
      <c r="G233" s="447">
        <v>11.5</v>
      </c>
      <c r="H233" s="447"/>
      <c r="I233" s="447"/>
      <c r="J233" s="447">
        <v>71625</v>
      </c>
      <c r="K233" s="448"/>
      <c r="L233" s="447"/>
      <c r="M233" s="447"/>
      <c r="N233" s="447"/>
      <c r="O233" s="447"/>
      <c r="P233" s="447"/>
    </row>
    <row r="234" spans="1:16" ht="15">
      <c r="A234" s="925">
        <v>229</v>
      </c>
      <c r="B234" s="929" t="s">
        <v>955</v>
      </c>
      <c r="C234" s="927" t="s">
        <v>827</v>
      </c>
      <c r="D234" s="447">
        <v>1996</v>
      </c>
      <c r="E234" s="447">
        <v>10</v>
      </c>
      <c r="F234" s="928" t="s">
        <v>1778</v>
      </c>
      <c r="G234" s="447">
        <v>7.8</v>
      </c>
      <c r="H234" s="447"/>
      <c r="I234" s="447"/>
      <c r="J234" s="447">
        <v>752.84</v>
      </c>
      <c r="K234" s="448"/>
      <c r="L234" s="447"/>
      <c r="M234" s="447"/>
      <c r="N234" s="447"/>
      <c r="O234" s="447"/>
      <c r="P234" s="447"/>
    </row>
    <row r="235" spans="1:16" ht="15">
      <c r="A235" s="925">
        <v>230</v>
      </c>
      <c r="B235" s="929" t="s">
        <v>956</v>
      </c>
      <c r="C235" s="927" t="s">
        <v>684</v>
      </c>
      <c r="D235" s="447">
        <v>2000</v>
      </c>
      <c r="E235" s="447">
        <v>10</v>
      </c>
      <c r="F235" s="928" t="s">
        <v>1778</v>
      </c>
      <c r="G235" s="447">
        <v>17</v>
      </c>
      <c r="H235" s="447"/>
      <c r="I235" s="447"/>
      <c r="J235" s="447">
        <v>0</v>
      </c>
      <c r="K235" s="448"/>
      <c r="L235" s="447"/>
      <c r="M235" s="447"/>
      <c r="N235" s="447"/>
      <c r="O235" s="447"/>
      <c r="P235" s="447"/>
    </row>
    <row r="236" spans="1:16" ht="15">
      <c r="A236" s="925">
        <v>231</v>
      </c>
      <c r="B236" s="929" t="s">
        <v>957</v>
      </c>
      <c r="C236" s="927" t="s">
        <v>811</v>
      </c>
      <c r="D236" s="447">
        <v>2001</v>
      </c>
      <c r="E236" s="447">
        <v>8</v>
      </c>
      <c r="F236" s="928" t="s">
        <v>1778</v>
      </c>
      <c r="G236" s="447">
        <v>17</v>
      </c>
      <c r="H236" s="447"/>
      <c r="I236" s="447"/>
      <c r="J236" s="447">
        <v>0</v>
      </c>
      <c r="K236" s="448"/>
      <c r="L236" s="447"/>
      <c r="M236" s="447"/>
      <c r="N236" s="447"/>
      <c r="O236" s="447"/>
      <c r="P236" s="447"/>
    </row>
    <row r="237" spans="1:16" ht="15">
      <c r="A237" s="925">
        <v>232</v>
      </c>
      <c r="B237" s="929" t="s">
        <v>958</v>
      </c>
      <c r="C237" s="927" t="s">
        <v>684</v>
      </c>
      <c r="D237" s="447">
        <v>1996</v>
      </c>
      <c r="E237" s="447">
        <v>10</v>
      </c>
      <c r="F237" s="928" t="s">
        <v>1778</v>
      </c>
      <c r="G237" s="447">
        <v>17</v>
      </c>
      <c r="H237" s="447"/>
      <c r="I237" s="447"/>
      <c r="J237" s="447">
        <v>0</v>
      </c>
      <c r="K237" s="448"/>
      <c r="L237" s="447"/>
      <c r="M237" s="447"/>
      <c r="N237" s="447"/>
      <c r="O237" s="447"/>
      <c r="P237" s="447"/>
    </row>
    <row r="238" spans="1:16" ht="15">
      <c r="A238" s="925">
        <v>233</v>
      </c>
      <c r="B238" s="929" t="s">
        <v>959</v>
      </c>
      <c r="C238" s="927" t="s">
        <v>735</v>
      </c>
      <c r="D238" s="447">
        <v>2001</v>
      </c>
      <c r="E238" s="447">
        <v>10</v>
      </c>
      <c r="F238" s="928" t="s">
        <v>1778</v>
      </c>
      <c r="G238" s="447">
        <v>17.899999999999999</v>
      </c>
      <c r="H238" s="447"/>
      <c r="I238" s="447"/>
      <c r="J238" s="447">
        <v>0</v>
      </c>
      <c r="K238" s="448"/>
      <c r="L238" s="447"/>
      <c r="M238" s="447"/>
      <c r="N238" s="447"/>
      <c r="O238" s="447"/>
      <c r="P238" s="447"/>
    </row>
    <row r="239" spans="1:16" ht="15">
      <c r="A239" s="925">
        <v>234</v>
      </c>
      <c r="B239" s="929" t="s">
        <v>960</v>
      </c>
      <c r="C239" s="927" t="s">
        <v>684</v>
      </c>
      <c r="D239" s="447">
        <v>2002</v>
      </c>
      <c r="E239" s="447">
        <v>10</v>
      </c>
      <c r="F239" s="928" t="s">
        <v>1778</v>
      </c>
      <c r="G239" s="447">
        <v>17</v>
      </c>
      <c r="H239" s="447"/>
      <c r="I239" s="447"/>
      <c r="J239" s="447">
        <v>0</v>
      </c>
      <c r="K239" s="448"/>
      <c r="L239" s="447"/>
      <c r="M239" s="447"/>
      <c r="N239" s="447"/>
      <c r="O239" s="447"/>
      <c r="P239" s="447"/>
    </row>
    <row r="240" spans="1:16" ht="15">
      <c r="A240" s="925">
        <v>235</v>
      </c>
      <c r="B240" s="929" t="s">
        <v>961</v>
      </c>
      <c r="C240" s="927" t="s">
        <v>684</v>
      </c>
      <c r="D240" s="447">
        <v>2004</v>
      </c>
      <c r="E240" s="447">
        <v>10</v>
      </c>
      <c r="F240" s="928" t="s">
        <v>1778</v>
      </c>
      <c r="G240" s="447">
        <v>17</v>
      </c>
      <c r="H240" s="447"/>
      <c r="I240" s="447"/>
      <c r="J240" s="447">
        <v>0</v>
      </c>
      <c r="K240" s="448"/>
      <c r="L240" s="447"/>
      <c r="M240" s="447"/>
      <c r="N240" s="447"/>
      <c r="O240" s="447"/>
      <c r="P240" s="447"/>
    </row>
    <row r="241" spans="1:16" ht="15">
      <c r="A241" s="925">
        <v>236</v>
      </c>
      <c r="B241" s="929" t="s">
        <v>962</v>
      </c>
      <c r="C241" s="927" t="s">
        <v>938</v>
      </c>
      <c r="D241" s="447">
        <v>2004</v>
      </c>
      <c r="E241" s="447">
        <v>10</v>
      </c>
      <c r="F241" s="928" t="s">
        <v>1778</v>
      </c>
      <c r="G241" s="447">
        <v>39</v>
      </c>
      <c r="H241" s="447"/>
      <c r="I241" s="447"/>
      <c r="J241" s="447">
        <v>67251.14</v>
      </c>
      <c r="K241" s="448"/>
      <c r="L241" s="447"/>
      <c r="M241" s="447"/>
      <c r="N241" s="447"/>
      <c r="O241" s="447"/>
      <c r="P241" s="447"/>
    </row>
    <row r="242" spans="1:16" ht="15">
      <c r="A242" s="925">
        <v>237</v>
      </c>
      <c r="B242" s="929" t="s">
        <v>963</v>
      </c>
      <c r="C242" s="927" t="s">
        <v>684</v>
      </c>
      <c r="D242" s="447">
        <v>2004</v>
      </c>
      <c r="E242" s="447">
        <v>10</v>
      </c>
      <c r="F242" s="928" t="s">
        <v>1778</v>
      </c>
      <c r="G242" s="447">
        <v>17</v>
      </c>
      <c r="H242" s="447"/>
      <c r="I242" s="447"/>
      <c r="J242" s="447">
        <v>0</v>
      </c>
      <c r="K242" s="448"/>
      <c r="L242" s="447"/>
      <c r="M242" s="447"/>
      <c r="N242" s="447"/>
      <c r="O242" s="447"/>
      <c r="P242" s="447"/>
    </row>
    <row r="243" spans="1:16" ht="15">
      <c r="A243" s="925">
        <v>238</v>
      </c>
      <c r="B243" s="929" t="s">
        <v>964</v>
      </c>
      <c r="C243" s="927" t="s">
        <v>684</v>
      </c>
      <c r="D243" s="447">
        <v>1994</v>
      </c>
      <c r="E243" s="447">
        <v>10</v>
      </c>
      <c r="F243" s="928" t="s">
        <v>1778</v>
      </c>
      <c r="G243" s="447">
        <v>17</v>
      </c>
      <c r="H243" s="447"/>
      <c r="I243" s="447"/>
      <c r="J243" s="447">
        <v>0</v>
      </c>
      <c r="K243" s="448"/>
      <c r="L243" s="447"/>
      <c r="M243" s="447"/>
      <c r="N243" s="447"/>
      <c r="O243" s="447"/>
      <c r="P243" s="447"/>
    </row>
    <row r="244" spans="1:16" ht="15">
      <c r="A244" s="925">
        <v>239</v>
      </c>
      <c r="B244" s="929" t="s">
        <v>965</v>
      </c>
      <c r="C244" s="927" t="s">
        <v>966</v>
      </c>
      <c r="D244" s="447">
        <v>1983</v>
      </c>
      <c r="E244" s="447">
        <v>10</v>
      </c>
      <c r="F244" s="928" t="s">
        <v>1778</v>
      </c>
      <c r="G244" s="447">
        <v>33</v>
      </c>
      <c r="H244" s="447"/>
      <c r="I244" s="447"/>
      <c r="J244" s="447">
        <v>0</v>
      </c>
      <c r="K244" s="448"/>
      <c r="L244" s="447"/>
      <c r="M244" s="447"/>
      <c r="N244" s="447"/>
      <c r="O244" s="447"/>
      <c r="P244" s="447"/>
    </row>
    <row r="245" spans="1:16" ht="15">
      <c r="A245" s="925">
        <v>240</v>
      </c>
      <c r="B245" s="929" t="s">
        <v>967</v>
      </c>
      <c r="C245" s="927" t="s">
        <v>735</v>
      </c>
      <c r="D245" s="447">
        <v>1990</v>
      </c>
      <c r="E245" s="447">
        <v>10</v>
      </c>
      <c r="F245" s="928" t="s">
        <v>1778</v>
      </c>
      <c r="G245" s="447">
        <v>22</v>
      </c>
      <c r="H245" s="447"/>
      <c r="I245" s="447"/>
      <c r="J245" s="447">
        <v>0</v>
      </c>
      <c r="K245" s="448"/>
      <c r="L245" s="447"/>
      <c r="M245" s="447"/>
      <c r="N245" s="447"/>
      <c r="O245" s="447"/>
      <c r="P245" s="447"/>
    </row>
    <row r="246" spans="1:16" ht="15">
      <c r="A246" s="925">
        <v>241</v>
      </c>
      <c r="B246" s="929" t="s">
        <v>968</v>
      </c>
      <c r="C246" s="927" t="s">
        <v>822</v>
      </c>
      <c r="D246" s="447">
        <v>1990</v>
      </c>
      <c r="E246" s="447">
        <v>10</v>
      </c>
      <c r="F246" s="928" t="s">
        <v>1778</v>
      </c>
      <c r="G246" s="447">
        <v>26</v>
      </c>
      <c r="H246" s="447"/>
      <c r="I246" s="447"/>
      <c r="J246" s="447">
        <v>0</v>
      </c>
      <c r="K246" s="448"/>
      <c r="L246" s="447"/>
      <c r="M246" s="447"/>
      <c r="N246" s="447"/>
      <c r="O246" s="447"/>
      <c r="P246" s="447"/>
    </row>
    <row r="247" spans="1:16" ht="15">
      <c r="A247" s="925">
        <v>242</v>
      </c>
      <c r="B247" s="929" t="s">
        <v>969</v>
      </c>
      <c r="C247" s="927" t="s">
        <v>811</v>
      </c>
      <c r="D247" s="447">
        <v>1999</v>
      </c>
      <c r="E247" s="447">
        <v>10</v>
      </c>
      <c r="F247" s="928" t="s">
        <v>1778</v>
      </c>
      <c r="G247" s="447">
        <v>17</v>
      </c>
      <c r="H247" s="447"/>
      <c r="I247" s="447"/>
      <c r="J247" s="447">
        <v>0</v>
      </c>
      <c r="K247" s="448"/>
      <c r="L247" s="447"/>
      <c r="M247" s="447"/>
      <c r="N247" s="447"/>
      <c r="O247" s="447"/>
      <c r="P247" s="447"/>
    </row>
    <row r="248" spans="1:16" ht="15">
      <c r="A248" s="925">
        <v>243</v>
      </c>
      <c r="B248" s="929" t="s">
        <v>970</v>
      </c>
      <c r="C248" s="927" t="s">
        <v>684</v>
      </c>
      <c r="D248" s="447">
        <v>2006</v>
      </c>
      <c r="E248" s="447">
        <v>10</v>
      </c>
      <c r="F248" s="928" t="s">
        <v>1778</v>
      </c>
      <c r="G248" s="447">
        <v>17</v>
      </c>
      <c r="H248" s="447"/>
      <c r="I248" s="447"/>
      <c r="J248" s="447">
        <v>13380.93</v>
      </c>
      <c r="K248" s="448"/>
      <c r="L248" s="447"/>
      <c r="M248" s="447"/>
      <c r="N248" s="447"/>
      <c r="O248" s="447"/>
      <c r="P248" s="447"/>
    </row>
    <row r="249" spans="1:16" ht="15">
      <c r="A249" s="925">
        <v>244</v>
      </c>
      <c r="B249" s="929" t="s">
        <v>971</v>
      </c>
      <c r="C249" s="927" t="s">
        <v>779</v>
      </c>
      <c r="D249" s="447">
        <v>2007</v>
      </c>
      <c r="E249" s="447">
        <v>10</v>
      </c>
      <c r="F249" s="928" t="s">
        <v>1778</v>
      </c>
      <c r="G249" s="447">
        <v>17</v>
      </c>
      <c r="H249" s="447"/>
      <c r="I249" s="447"/>
      <c r="J249" s="447">
        <v>25830.91</v>
      </c>
      <c r="K249" s="448"/>
      <c r="L249" s="447"/>
      <c r="M249" s="447"/>
      <c r="N249" s="447"/>
      <c r="O249" s="447"/>
      <c r="P249" s="447"/>
    </row>
    <row r="250" spans="1:16" ht="15">
      <c r="A250" s="925">
        <v>245</v>
      </c>
      <c r="B250" s="929" t="s">
        <v>972</v>
      </c>
      <c r="C250" s="927" t="s">
        <v>908</v>
      </c>
      <c r="D250" s="447">
        <v>2008</v>
      </c>
      <c r="E250" s="447">
        <v>10</v>
      </c>
      <c r="F250" s="928" t="s">
        <v>1778</v>
      </c>
      <c r="G250" s="447">
        <v>17</v>
      </c>
      <c r="H250" s="447"/>
      <c r="I250" s="447"/>
      <c r="J250" s="447">
        <v>56786.5</v>
      </c>
      <c r="K250" s="448"/>
      <c r="L250" s="447"/>
      <c r="M250" s="447"/>
      <c r="N250" s="447"/>
      <c r="O250" s="447"/>
      <c r="P250" s="447"/>
    </row>
    <row r="251" spans="1:16" ht="15">
      <c r="A251" s="925">
        <v>246</v>
      </c>
      <c r="B251" s="929" t="s">
        <v>973</v>
      </c>
      <c r="C251" s="927" t="s">
        <v>951</v>
      </c>
      <c r="D251" s="447">
        <v>2009</v>
      </c>
      <c r="E251" s="447">
        <v>10</v>
      </c>
      <c r="F251" s="928" t="s">
        <v>1778</v>
      </c>
      <c r="G251" s="447">
        <v>15.6</v>
      </c>
      <c r="H251" s="447"/>
      <c r="I251" s="447"/>
      <c r="J251" s="447">
        <v>322743.2</v>
      </c>
      <c r="K251" s="448"/>
      <c r="L251" s="447"/>
      <c r="M251" s="447"/>
      <c r="N251" s="447"/>
      <c r="O251" s="447"/>
      <c r="P251" s="447"/>
    </row>
    <row r="252" spans="1:16" ht="15">
      <c r="A252" s="925">
        <v>247</v>
      </c>
      <c r="B252" s="929" t="s">
        <v>974</v>
      </c>
      <c r="C252" s="927" t="s">
        <v>779</v>
      </c>
      <c r="D252" s="447">
        <v>2009</v>
      </c>
      <c r="E252" s="447">
        <v>10</v>
      </c>
      <c r="F252" s="928" t="s">
        <v>1778</v>
      </c>
      <c r="G252" s="447">
        <v>17</v>
      </c>
      <c r="H252" s="447"/>
      <c r="I252" s="447"/>
      <c r="J252" s="447">
        <v>69368.34</v>
      </c>
      <c r="K252" s="448"/>
      <c r="L252" s="447"/>
      <c r="M252" s="447"/>
      <c r="N252" s="447"/>
      <c r="O252" s="447"/>
      <c r="P252" s="447"/>
    </row>
    <row r="253" spans="1:16" ht="15">
      <c r="A253" s="925">
        <v>248</v>
      </c>
      <c r="B253" s="929" t="s">
        <v>975</v>
      </c>
      <c r="C253" s="927" t="s">
        <v>976</v>
      </c>
      <c r="D253" s="447">
        <v>1983</v>
      </c>
      <c r="E253" s="447">
        <v>10</v>
      </c>
      <c r="F253" s="928" t="s">
        <v>1778</v>
      </c>
      <c r="G253" s="447">
        <v>0</v>
      </c>
      <c r="H253" s="447"/>
      <c r="I253" s="447"/>
      <c r="J253" s="447">
        <v>0</v>
      </c>
      <c r="K253" s="448"/>
      <c r="L253" s="447"/>
      <c r="M253" s="447"/>
      <c r="N253" s="447"/>
      <c r="O253" s="447"/>
      <c r="P253" s="447"/>
    </row>
    <row r="254" spans="1:16" ht="15">
      <c r="A254" s="925">
        <v>249</v>
      </c>
      <c r="B254" s="929" t="s">
        <v>977</v>
      </c>
      <c r="C254" s="927" t="s">
        <v>680</v>
      </c>
      <c r="D254" s="447">
        <v>2011</v>
      </c>
      <c r="E254" s="447">
        <v>8</v>
      </c>
      <c r="F254" s="928" t="s">
        <v>1778</v>
      </c>
      <c r="G254" s="447">
        <v>11.5</v>
      </c>
      <c r="H254" s="447"/>
      <c r="I254" s="447"/>
      <c r="J254" s="447">
        <v>0</v>
      </c>
      <c r="K254" s="448"/>
      <c r="L254" s="447"/>
      <c r="M254" s="447"/>
      <c r="N254" s="447"/>
      <c r="O254" s="447"/>
      <c r="P254" s="447"/>
    </row>
    <row r="255" spans="1:16" ht="15">
      <c r="A255" s="925">
        <v>250</v>
      </c>
      <c r="B255" s="934" t="s">
        <v>978</v>
      </c>
      <c r="C255" s="927" t="s">
        <v>779</v>
      </c>
      <c r="D255" s="447">
        <v>2011</v>
      </c>
      <c r="E255" s="447">
        <v>10</v>
      </c>
      <c r="F255" s="928" t="s">
        <v>1778</v>
      </c>
      <c r="G255" s="447">
        <v>17</v>
      </c>
      <c r="H255" s="447"/>
      <c r="I255" s="447"/>
      <c r="J255" s="447">
        <v>108798.93</v>
      </c>
      <c r="K255" s="448"/>
      <c r="L255" s="447"/>
      <c r="M255" s="447"/>
      <c r="N255" s="447"/>
      <c r="O255" s="447"/>
      <c r="P255" s="447"/>
    </row>
    <row r="256" spans="1:16" ht="15">
      <c r="A256" s="925">
        <v>251</v>
      </c>
      <c r="B256" s="929" t="s">
        <v>979</v>
      </c>
      <c r="C256" s="927" t="s">
        <v>684</v>
      </c>
      <c r="D256" s="447">
        <v>2004</v>
      </c>
      <c r="E256" s="447">
        <v>10</v>
      </c>
      <c r="F256" s="928" t="s">
        <v>1779</v>
      </c>
      <c r="G256" s="447">
        <v>17</v>
      </c>
      <c r="H256" s="447"/>
      <c r="I256" s="447"/>
      <c r="J256" s="447">
        <v>0</v>
      </c>
      <c r="K256" s="448"/>
      <c r="L256" s="447"/>
      <c r="M256" s="447"/>
      <c r="N256" s="447"/>
      <c r="O256" s="447"/>
      <c r="P256" s="447"/>
    </row>
    <row r="257" spans="1:16" ht="15">
      <c r="A257" s="925">
        <v>252</v>
      </c>
      <c r="B257" s="929" t="s">
        <v>980</v>
      </c>
      <c r="C257" s="927" t="s">
        <v>684</v>
      </c>
      <c r="D257" s="447">
        <v>2004</v>
      </c>
      <c r="E257" s="447">
        <v>10</v>
      </c>
      <c r="F257" s="928" t="s">
        <v>1779</v>
      </c>
      <c r="G257" s="447">
        <v>17</v>
      </c>
      <c r="H257" s="447"/>
      <c r="I257" s="447"/>
      <c r="J257" s="447">
        <v>0</v>
      </c>
      <c r="K257" s="448"/>
      <c r="L257" s="447"/>
      <c r="M257" s="447"/>
      <c r="N257" s="447"/>
      <c r="O257" s="447"/>
      <c r="P257" s="447"/>
    </row>
    <row r="258" spans="1:16" ht="15">
      <c r="A258" s="925">
        <v>253</v>
      </c>
      <c r="B258" s="929" t="s">
        <v>981</v>
      </c>
      <c r="C258" s="927" t="s">
        <v>938</v>
      </c>
      <c r="D258" s="447">
        <v>2004</v>
      </c>
      <c r="E258" s="447">
        <v>10</v>
      </c>
      <c r="F258" s="928" t="s">
        <v>1779</v>
      </c>
      <c r="G258" s="447">
        <v>39</v>
      </c>
      <c r="H258" s="447"/>
      <c r="I258" s="447"/>
      <c r="J258" s="447">
        <v>67355.33</v>
      </c>
      <c r="K258" s="448"/>
      <c r="L258" s="447"/>
      <c r="M258" s="447"/>
      <c r="N258" s="447"/>
      <c r="O258" s="447"/>
      <c r="P258" s="447"/>
    </row>
    <row r="259" spans="1:16" ht="15">
      <c r="A259" s="925">
        <v>254</v>
      </c>
      <c r="B259" s="929" t="s">
        <v>982</v>
      </c>
      <c r="C259" s="927" t="s">
        <v>684</v>
      </c>
      <c r="D259" s="447">
        <v>1993</v>
      </c>
      <c r="E259" s="447">
        <v>10</v>
      </c>
      <c r="F259" s="928" t="s">
        <v>1779</v>
      </c>
      <c r="G259" s="447">
        <v>11</v>
      </c>
      <c r="H259" s="447"/>
      <c r="I259" s="447"/>
      <c r="J259" s="447">
        <v>0</v>
      </c>
      <c r="K259" s="448"/>
      <c r="L259" s="447"/>
      <c r="M259" s="447"/>
      <c r="N259" s="447"/>
      <c r="O259" s="447"/>
      <c r="P259" s="447"/>
    </row>
    <row r="260" spans="1:16" ht="15">
      <c r="A260" s="925">
        <v>255</v>
      </c>
      <c r="B260" s="929" t="s">
        <v>983</v>
      </c>
      <c r="C260" s="927" t="s">
        <v>691</v>
      </c>
      <c r="D260" s="447">
        <v>1990</v>
      </c>
      <c r="E260" s="447">
        <v>10</v>
      </c>
      <c r="F260" s="928" t="s">
        <v>1779</v>
      </c>
      <c r="G260" s="447">
        <v>25</v>
      </c>
      <c r="H260" s="447"/>
      <c r="I260" s="447"/>
      <c r="J260" s="447">
        <v>0</v>
      </c>
      <c r="K260" s="448"/>
      <c r="L260" s="447"/>
      <c r="M260" s="447"/>
      <c r="N260" s="447"/>
      <c r="O260" s="447"/>
      <c r="P260" s="447"/>
    </row>
    <row r="261" spans="1:16" ht="15">
      <c r="A261" s="925">
        <v>256</v>
      </c>
      <c r="B261" s="925" t="s">
        <v>984</v>
      </c>
      <c r="C261" s="927" t="s">
        <v>985</v>
      </c>
      <c r="D261" s="447">
        <v>2012</v>
      </c>
      <c r="E261" s="447">
        <v>0</v>
      </c>
      <c r="F261" s="928" t="s">
        <v>1779</v>
      </c>
      <c r="G261" s="447">
        <v>11.5</v>
      </c>
      <c r="H261" s="447"/>
      <c r="I261" s="447"/>
      <c r="J261" s="447">
        <v>75976.05</v>
      </c>
      <c r="K261" s="448"/>
      <c r="L261" s="447"/>
      <c r="M261" s="447"/>
      <c r="N261" s="447"/>
      <c r="O261" s="447"/>
      <c r="P261" s="447"/>
    </row>
    <row r="262" spans="1:16" ht="15">
      <c r="A262" s="925">
        <v>257</v>
      </c>
      <c r="B262" s="929" t="s">
        <v>986</v>
      </c>
      <c r="C262" s="927" t="s">
        <v>691</v>
      </c>
      <c r="D262" s="447">
        <v>1991</v>
      </c>
      <c r="E262" s="447">
        <v>10</v>
      </c>
      <c r="F262" s="928" t="s">
        <v>1779</v>
      </c>
      <c r="G262" s="447">
        <v>25</v>
      </c>
      <c r="H262" s="447">
        <v>2.1</v>
      </c>
      <c r="I262" s="447">
        <v>25.2</v>
      </c>
      <c r="J262" s="447">
        <v>0</v>
      </c>
      <c r="K262" s="448"/>
      <c r="L262" s="447"/>
      <c r="M262" s="447"/>
      <c r="N262" s="447"/>
      <c r="O262" s="447"/>
      <c r="P262" s="447"/>
    </row>
    <row r="263" spans="1:16" ht="15">
      <c r="A263" s="925">
        <v>258</v>
      </c>
      <c r="B263" s="929" t="s">
        <v>987</v>
      </c>
      <c r="C263" s="927" t="s">
        <v>827</v>
      </c>
      <c r="D263" s="447">
        <v>1989</v>
      </c>
      <c r="E263" s="447">
        <v>10</v>
      </c>
      <c r="F263" s="928" t="s">
        <v>1779</v>
      </c>
      <c r="G263" s="447">
        <v>4</v>
      </c>
      <c r="H263" s="447"/>
      <c r="I263" s="447"/>
      <c r="J263" s="447">
        <v>0</v>
      </c>
      <c r="K263" s="448"/>
      <c r="L263" s="447"/>
      <c r="M263" s="447"/>
      <c r="N263" s="447"/>
      <c r="O263" s="447"/>
      <c r="P263" s="447"/>
    </row>
    <row r="264" spans="1:16" ht="15">
      <c r="A264" s="925">
        <v>259</v>
      </c>
      <c r="B264" s="929" t="s">
        <v>988</v>
      </c>
      <c r="C264" s="927" t="s">
        <v>735</v>
      </c>
      <c r="D264" s="447">
        <v>1993</v>
      </c>
      <c r="E264" s="447">
        <v>10</v>
      </c>
      <c r="F264" s="928" t="s">
        <v>1779</v>
      </c>
      <c r="G264" s="447">
        <v>24.5</v>
      </c>
      <c r="H264" s="447"/>
      <c r="I264" s="447"/>
      <c r="J264" s="447">
        <v>0</v>
      </c>
      <c r="K264" s="448"/>
      <c r="L264" s="447"/>
      <c r="M264" s="447"/>
      <c r="N264" s="447"/>
      <c r="O264" s="447"/>
      <c r="P264" s="447"/>
    </row>
    <row r="265" spans="1:16" ht="15">
      <c r="A265" s="925">
        <v>260</v>
      </c>
      <c r="B265" s="929" t="s">
        <v>989</v>
      </c>
      <c r="C265" s="927" t="s">
        <v>990</v>
      </c>
      <c r="D265" s="447">
        <v>1979</v>
      </c>
      <c r="E265" s="447">
        <v>10</v>
      </c>
      <c r="F265" s="928" t="s">
        <v>1779</v>
      </c>
      <c r="G265" s="447">
        <v>27</v>
      </c>
      <c r="H265" s="447">
        <v>2.2000000000000002</v>
      </c>
      <c r="I265" s="447">
        <v>26.4</v>
      </c>
      <c r="J265" s="447">
        <v>0</v>
      </c>
      <c r="K265" s="448"/>
      <c r="L265" s="447"/>
      <c r="M265" s="447"/>
      <c r="N265" s="447"/>
      <c r="O265" s="447"/>
      <c r="P265" s="447"/>
    </row>
    <row r="266" spans="1:16" ht="15">
      <c r="A266" s="925">
        <v>261</v>
      </c>
      <c r="B266" s="929" t="s">
        <v>991</v>
      </c>
      <c r="C266" s="927" t="s">
        <v>774</v>
      </c>
      <c r="D266" s="447">
        <v>1992</v>
      </c>
      <c r="E266" s="447">
        <v>10</v>
      </c>
      <c r="F266" s="928" t="s">
        <v>1779</v>
      </c>
      <c r="G266" s="447">
        <v>27</v>
      </c>
      <c r="H266" s="447"/>
      <c r="I266" s="447"/>
      <c r="J266" s="447">
        <v>0</v>
      </c>
      <c r="K266" s="448"/>
      <c r="L266" s="447"/>
      <c r="M266" s="447"/>
      <c r="N266" s="447"/>
      <c r="O266" s="447"/>
      <c r="P266" s="447"/>
    </row>
    <row r="267" spans="1:16" ht="15">
      <c r="A267" s="925">
        <v>262</v>
      </c>
      <c r="B267" s="929" t="s">
        <v>992</v>
      </c>
      <c r="C267" s="927" t="s">
        <v>684</v>
      </c>
      <c r="D267" s="447">
        <v>1996</v>
      </c>
      <c r="E267" s="447">
        <v>10</v>
      </c>
      <c r="F267" s="928" t="s">
        <v>1779</v>
      </c>
      <c r="G267" s="447">
        <v>17</v>
      </c>
      <c r="H267" s="447"/>
      <c r="I267" s="447"/>
      <c r="J267" s="447">
        <v>0</v>
      </c>
      <c r="K267" s="448"/>
      <c r="L267" s="447"/>
      <c r="M267" s="447"/>
      <c r="N267" s="447"/>
      <c r="O267" s="447"/>
      <c r="P267" s="447"/>
    </row>
    <row r="268" spans="1:16" ht="15">
      <c r="A268" s="925">
        <v>263</v>
      </c>
      <c r="B268" s="929" t="s">
        <v>993</v>
      </c>
      <c r="C268" s="927" t="s">
        <v>994</v>
      </c>
      <c r="D268" s="447">
        <v>1990</v>
      </c>
      <c r="E268" s="447">
        <v>10</v>
      </c>
      <c r="F268" s="928" t="s">
        <v>1779</v>
      </c>
      <c r="G268" s="447">
        <v>31</v>
      </c>
      <c r="H268" s="447"/>
      <c r="I268" s="447"/>
      <c r="J268" s="447">
        <v>0</v>
      </c>
      <c r="K268" s="448"/>
      <c r="L268" s="447"/>
      <c r="M268" s="447"/>
      <c r="N268" s="447"/>
      <c r="O268" s="447"/>
      <c r="P268" s="447"/>
    </row>
    <row r="269" spans="1:16" ht="15">
      <c r="A269" s="925">
        <v>264</v>
      </c>
      <c r="B269" s="929" t="s">
        <v>995</v>
      </c>
      <c r="C269" s="927" t="s">
        <v>677</v>
      </c>
      <c r="D269" s="447">
        <v>1998</v>
      </c>
      <c r="E269" s="447">
        <v>8</v>
      </c>
      <c r="F269" s="928" t="s">
        <v>1779</v>
      </c>
      <c r="G269" s="447">
        <v>16.7</v>
      </c>
      <c r="H269" s="447"/>
      <c r="I269" s="447"/>
      <c r="J269" s="447">
        <v>0</v>
      </c>
      <c r="K269" s="448"/>
      <c r="L269" s="447"/>
      <c r="M269" s="447"/>
      <c r="N269" s="447"/>
      <c r="O269" s="447"/>
      <c r="P269" s="447"/>
    </row>
    <row r="270" spans="1:16" ht="15">
      <c r="A270" s="925">
        <v>265</v>
      </c>
      <c r="B270" s="929" t="s">
        <v>996</v>
      </c>
      <c r="C270" s="927" t="s">
        <v>684</v>
      </c>
      <c r="D270" s="447">
        <v>1991</v>
      </c>
      <c r="E270" s="447">
        <v>10</v>
      </c>
      <c r="F270" s="928" t="s">
        <v>1779</v>
      </c>
      <c r="G270" s="447">
        <v>17</v>
      </c>
      <c r="H270" s="447"/>
      <c r="I270" s="447"/>
      <c r="J270" s="447">
        <v>0</v>
      </c>
      <c r="K270" s="448"/>
      <c r="L270" s="447"/>
      <c r="M270" s="447"/>
      <c r="N270" s="447"/>
      <c r="O270" s="447"/>
      <c r="P270" s="447"/>
    </row>
    <row r="271" spans="1:16" ht="15">
      <c r="A271" s="925">
        <v>266</v>
      </c>
      <c r="B271" s="929" t="s">
        <v>997</v>
      </c>
      <c r="C271" s="927" t="s">
        <v>677</v>
      </c>
      <c r="D271" s="447">
        <v>2005</v>
      </c>
      <c r="E271" s="447">
        <v>8</v>
      </c>
      <c r="F271" s="928" t="s">
        <v>1779</v>
      </c>
      <c r="G271" s="447">
        <v>11.5</v>
      </c>
      <c r="H271" s="447"/>
      <c r="I271" s="447"/>
      <c r="J271" s="447">
        <v>24741.77</v>
      </c>
      <c r="K271" s="448"/>
      <c r="L271" s="447"/>
      <c r="M271" s="447"/>
      <c r="N271" s="447"/>
      <c r="O271" s="447"/>
      <c r="P271" s="447"/>
    </row>
    <row r="272" spans="1:16" ht="15">
      <c r="A272" s="925">
        <v>267</v>
      </c>
      <c r="B272" s="929" t="s">
        <v>998</v>
      </c>
      <c r="C272" s="927" t="s">
        <v>764</v>
      </c>
      <c r="D272" s="447">
        <v>1990</v>
      </c>
      <c r="E272" s="447">
        <v>10</v>
      </c>
      <c r="F272" s="928" t="s">
        <v>1779</v>
      </c>
      <c r="G272" s="447">
        <v>0</v>
      </c>
      <c r="H272" s="447"/>
      <c r="I272" s="447"/>
      <c r="J272" s="447">
        <v>0</v>
      </c>
      <c r="K272" s="448"/>
      <c r="L272" s="447"/>
      <c r="M272" s="447"/>
      <c r="N272" s="447"/>
      <c r="O272" s="447"/>
      <c r="P272" s="447"/>
    </row>
    <row r="273" spans="1:16" ht="15">
      <c r="A273" s="925">
        <v>268</v>
      </c>
      <c r="B273" s="929" t="s">
        <v>999</v>
      </c>
      <c r="C273" s="927" t="s">
        <v>764</v>
      </c>
      <c r="D273" s="447">
        <v>1988</v>
      </c>
      <c r="E273" s="447">
        <v>10</v>
      </c>
      <c r="F273" s="928" t="s">
        <v>1779</v>
      </c>
      <c r="G273" s="447">
        <v>0</v>
      </c>
      <c r="H273" s="447"/>
      <c r="I273" s="447"/>
      <c r="J273" s="447">
        <v>0</v>
      </c>
      <c r="K273" s="448"/>
      <c r="L273" s="447"/>
      <c r="M273" s="447"/>
      <c r="N273" s="447"/>
      <c r="O273" s="447"/>
      <c r="P273" s="447"/>
    </row>
    <row r="274" spans="1:16" ht="15">
      <c r="A274" s="925">
        <v>269</v>
      </c>
      <c r="B274" s="929" t="s">
        <v>1000</v>
      </c>
      <c r="C274" s="927" t="s">
        <v>769</v>
      </c>
      <c r="D274" s="447">
        <v>2000</v>
      </c>
      <c r="E274" s="447">
        <v>10</v>
      </c>
      <c r="F274" s="928" t="s">
        <v>1779</v>
      </c>
      <c r="G274" s="447">
        <v>0</v>
      </c>
      <c r="H274" s="447"/>
      <c r="I274" s="447"/>
      <c r="J274" s="447">
        <v>0</v>
      </c>
      <c r="K274" s="448"/>
      <c r="L274" s="447"/>
      <c r="M274" s="447"/>
      <c r="N274" s="447"/>
      <c r="O274" s="447"/>
      <c r="P274" s="447"/>
    </row>
    <row r="275" spans="1:16" ht="15">
      <c r="A275" s="925">
        <v>270</v>
      </c>
      <c r="B275" s="929" t="s">
        <v>1001</v>
      </c>
      <c r="C275" s="927" t="s">
        <v>779</v>
      </c>
      <c r="D275" s="447">
        <v>2008</v>
      </c>
      <c r="E275" s="447">
        <v>10</v>
      </c>
      <c r="F275" s="928" t="s">
        <v>1779</v>
      </c>
      <c r="G275" s="447">
        <v>17</v>
      </c>
      <c r="H275" s="447"/>
      <c r="I275" s="447"/>
      <c r="J275" s="447">
        <v>35067.589999999997</v>
      </c>
      <c r="K275" s="448"/>
      <c r="L275" s="447"/>
      <c r="M275" s="447"/>
      <c r="N275" s="447"/>
      <c r="O275" s="447"/>
      <c r="P275" s="447"/>
    </row>
    <row r="276" spans="1:16" ht="15">
      <c r="A276" s="925">
        <v>271</v>
      </c>
      <c r="B276" s="929" t="s">
        <v>1002</v>
      </c>
      <c r="C276" s="927" t="s">
        <v>1003</v>
      </c>
      <c r="D276" s="447">
        <v>2008</v>
      </c>
      <c r="E276" s="447">
        <v>10</v>
      </c>
      <c r="F276" s="928" t="s">
        <v>1779</v>
      </c>
      <c r="G276" s="447">
        <v>18.3</v>
      </c>
      <c r="H276" s="447"/>
      <c r="I276" s="447"/>
      <c r="J276" s="447">
        <v>49970.9</v>
      </c>
      <c r="K276" s="448"/>
      <c r="L276" s="447"/>
      <c r="M276" s="447"/>
      <c r="N276" s="447"/>
      <c r="O276" s="447"/>
      <c r="P276" s="447"/>
    </row>
    <row r="277" spans="1:16" ht="15">
      <c r="A277" s="925">
        <v>272</v>
      </c>
      <c r="B277" s="929" t="s">
        <v>1004</v>
      </c>
      <c r="C277" s="927" t="s">
        <v>779</v>
      </c>
      <c r="D277" s="447">
        <v>2007</v>
      </c>
      <c r="E277" s="447">
        <v>10</v>
      </c>
      <c r="F277" s="928" t="s">
        <v>1779</v>
      </c>
      <c r="G277" s="447">
        <v>17</v>
      </c>
      <c r="H277" s="447"/>
      <c r="I277" s="447"/>
      <c r="J277" s="447">
        <v>25830.91</v>
      </c>
      <c r="K277" s="448"/>
      <c r="L277" s="447"/>
      <c r="M277" s="447"/>
      <c r="N277" s="447"/>
      <c r="O277" s="447"/>
      <c r="P277" s="447"/>
    </row>
    <row r="278" spans="1:16" ht="15">
      <c r="A278" s="925">
        <v>273</v>
      </c>
      <c r="B278" s="929" t="s">
        <v>1005</v>
      </c>
      <c r="C278" s="927" t="s">
        <v>779</v>
      </c>
      <c r="D278" s="447">
        <v>2011</v>
      </c>
      <c r="E278" s="447">
        <v>10</v>
      </c>
      <c r="F278" s="928" t="s">
        <v>1779</v>
      </c>
      <c r="G278" s="447">
        <v>17</v>
      </c>
      <c r="H278" s="447"/>
      <c r="I278" s="447"/>
      <c r="J278" s="447">
        <v>0</v>
      </c>
      <c r="K278" s="448"/>
      <c r="L278" s="447"/>
      <c r="M278" s="447"/>
      <c r="N278" s="447"/>
      <c r="O278" s="447"/>
      <c r="P278" s="447"/>
    </row>
    <row r="279" spans="1:16" ht="15">
      <c r="A279" s="925">
        <v>274</v>
      </c>
      <c r="B279" s="929" t="s">
        <v>954</v>
      </c>
      <c r="C279" s="927" t="s">
        <v>680</v>
      </c>
      <c r="D279" s="447">
        <v>2012</v>
      </c>
      <c r="E279" s="447">
        <v>8</v>
      </c>
      <c r="F279" s="928" t="s">
        <v>1779</v>
      </c>
      <c r="G279" s="447">
        <v>11.5</v>
      </c>
      <c r="H279" s="447"/>
      <c r="I279" s="447"/>
      <c r="J279" s="447">
        <v>71625</v>
      </c>
      <c r="K279" s="448"/>
      <c r="L279" s="447"/>
      <c r="M279" s="447"/>
      <c r="N279" s="447"/>
      <c r="O279" s="447"/>
      <c r="P279" s="447"/>
    </row>
    <row r="280" spans="1:16" ht="15">
      <c r="A280" s="925">
        <v>275</v>
      </c>
      <c r="B280" s="929" t="s">
        <v>1006</v>
      </c>
      <c r="C280" s="927" t="s">
        <v>764</v>
      </c>
      <c r="D280" s="447">
        <v>1990</v>
      </c>
      <c r="E280" s="447">
        <v>10</v>
      </c>
      <c r="F280" s="928" t="s">
        <v>1780</v>
      </c>
      <c r="G280" s="447">
        <v>0</v>
      </c>
      <c r="H280" s="447"/>
      <c r="I280" s="447"/>
      <c r="J280" s="447">
        <v>0</v>
      </c>
      <c r="K280" s="448"/>
      <c r="L280" s="447"/>
      <c r="M280" s="447"/>
      <c r="N280" s="447"/>
      <c r="O280" s="447"/>
      <c r="P280" s="447"/>
    </row>
    <row r="281" spans="1:16" ht="15">
      <c r="A281" s="925">
        <v>276</v>
      </c>
      <c r="B281" s="929" t="s">
        <v>1007</v>
      </c>
      <c r="C281" s="927" t="s">
        <v>1008</v>
      </c>
      <c r="D281" s="447">
        <v>1986</v>
      </c>
      <c r="E281" s="447">
        <v>10</v>
      </c>
      <c r="F281" s="928" t="s">
        <v>1780</v>
      </c>
      <c r="G281" s="447">
        <v>7.8</v>
      </c>
      <c r="H281" s="447"/>
      <c r="I281" s="447"/>
      <c r="J281" s="447">
        <v>0</v>
      </c>
      <c r="K281" s="448"/>
      <c r="L281" s="447"/>
      <c r="M281" s="447"/>
      <c r="N281" s="447"/>
      <c r="O281" s="447"/>
      <c r="P281" s="447"/>
    </row>
    <row r="282" spans="1:16" ht="15">
      <c r="A282" s="925">
        <v>277</v>
      </c>
      <c r="B282" s="929" t="s">
        <v>1009</v>
      </c>
      <c r="C282" s="927" t="s">
        <v>684</v>
      </c>
      <c r="D282" s="447">
        <v>1994</v>
      </c>
      <c r="E282" s="447">
        <v>10</v>
      </c>
      <c r="F282" s="928" t="s">
        <v>1780</v>
      </c>
      <c r="G282" s="447">
        <v>17</v>
      </c>
      <c r="H282" s="447"/>
      <c r="I282" s="447"/>
      <c r="J282" s="447">
        <v>0</v>
      </c>
      <c r="K282" s="451"/>
      <c r="L282" s="332"/>
      <c r="M282" s="332"/>
      <c r="N282" s="332"/>
      <c r="O282" s="332"/>
      <c r="P282" s="332"/>
    </row>
    <row r="283" spans="1:16" ht="15">
      <c r="A283" s="925">
        <v>278</v>
      </c>
      <c r="B283" s="929" t="s">
        <v>1010</v>
      </c>
      <c r="C283" s="927" t="s">
        <v>702</v>
      </c>
      <c r="D283" s="447">
        <v>1998</v>
      </c>
      <c r="E283" s="447">
        <v>8</v>
      </c>
      <c r="F283" s="928" t="s">
        <v>1780</v>
      </c>
      <c r="G283" s="447">
        <v>17.8</v>
      </c>
      <c r="H283" s="447"/>
      <c r="I283" s="447"/>
      <c r="J283" s="447">
        <v>0</v>
      </c>
      <c r="K283" s="448"/>
      <c r="L283" s="447"/>
      <c r="M283" s="447"/>
      <c r="N283" s="447"/>
      <c r="O283" s="447"/>
      <c r="P283" s="447"/>
    </row>
    <row r="284" spans="1:16" ht="15">
      <c r="A284" s="925">
        <v>279</v>
      </c>
      <c r="B284" s="929" t="s">
        <v>1011</v>
      </c>
      <c r="C284" s="927" t="s">
        <v>684</v>
      </c>
      <c r="D284" s="447">
        <v>1999</v>
      </c>
      <c r="E284" s="447">
        <v>10</v>
      </c>
      <c r="F284" s="928" t="s">
        <v>1780</v>
      </c>
      <c r="G284" s="447">
        <v>18.100000000000001</v>
      </c>
      <c r="H284" s="447"/>
      <c r="I284" s="447"/>
      <c r="J284" s="447">
        <v>0</v>
      </c>
      <c r="K284" s="448"/>
      <c r="L284" s="447"/>
      <c r="M284" s="447"/>
      <c r="N284" s="447"/>
      <c r="O284" s="447"/>
      <c r="P284" s="447"/>
    </row>
    <row r="285" spans="1:16" ht="15">
      <c r="A285" s="925">
        <v>280</v>
      </c>
      <c r="B285" s="929" t="s">
        <v>1012</v>
      </c>
      <c r="C285" s="927" t="s">
        <v>684</v>
      </c>
      <c r="D285" s="447">
        <v>1996</v>
      </c>
      <c r="E285" s="447">
        <v>10</v>
      </c>
      <c r="F285" s="928" t="s">
        <v>1780</v>
      </c>
      <c r="G285" s="447">
        <v>17</v>
      </c>
      <c r="H285" s="447"/>
      <c r="I285" s="447"/>
      <c r="J285" s="447">
        <v>0</v>
      </c>
      <c r="K285" s="448"/>
      <c r="L285" s="447"/>
      <c r="M285" s="447"/>
      <c r="N285" s="447"/>
      <c r="O285" s="447"/>
      <c r="P285" s="447"/>
    </row>
    <row r="286" spans="1:16" ht="15">
      <c r="A286" s="925">
        <v>281</v>
      </c>
      <c r="B286" s="929" t="s">
        <v>1013</v>
      </c>
      <c r="C286" s="927" t="s">
        <v>735</v>
      </c>
      <c r="D286" s="447">
        <v>2000</v>
      </c>
      <c r="E286" s="447">
        <v>10</v>
      </c>
      <c r="F286" s="928" t="s">
        <v>1780</v>
      </c>
      <c r="G286" s="447">
        <v>17.899999999999999</v>
      </c>
      <c r="H286" s="447"/>
      <c r="I286" s="447"/>
      <c r="J286" s="447">
        <v>0</v>
      </c>
      <c r="K286" s="448"/>
      <c r="L286" s="447"/>
      <c r="M286" s="447"/>
      <c r="N286" s="447"/>
      <c r="O286" s="447"/>
      <c r="P286" s="447"/>
    </row>
    <row r="287" spans="1:16" ht="15">
      <c r="A287" s="925">
        <v>282</v>
      </c>
      <c r="B287" s="929" t="s">
        <v>1014</v>
      </c>
      <c r="C287" s="927" t="s">
        <v>1015</v>
      </c>
      <c r="D287" s="447">
        <v>2012</v>
      </c>
      <c r="E287" s="447">
        <v>0</v>
      </c>
      <c r="F287" s="928" t="s">
        <v>1780</v>
      </c>
      <c r="G287" s="447">
        <v>11.5</v>
      </c>
      <c r="H287" s="447"/>
      <c r="I287" s="447"/>
      <c r="J287" s="447">
        <v>75976.05</v>
      </c>
      <c r="K287" s="448"/>
      <c r="L287" s="447"/>
      <c r="M287" s="447"/>
      <c r="N287" s="447"/>
      <c r="O287" s="447"/>
      <c r="P287" s="447"/>
    </row>
    <row r="288" spans="1:16" ht="15">
      <c r="A288" s="925">
        <v>283</v>
      </c>
      <c r="B288" s="929" t="s">
        <v>1016</v>
      </c>
      <c r="C288" s="927" t="s">
        <v>677</v>
      </c>
      <c r="D288" s="447">
        <v>2001</v>
      </c>
      <c r="E288" s="447">
        <v>8</v>
      </c>
      <c r="F288" s="928" t="s">
        <v>1780</v>
      </c>
      <c r="G288" s="447">
        <v>17</v>
      </c>
      <c r="H288" s="447"/>
      <c r="I288" s="447"/>
      <c r="J288" s="447">
        <v>0</v>
      </c>
      <c r="K288" s="448"/>
      <c r="L288" s="447"/>
      <c r="M288" s="447"/>
      <c r="N288" s="447"/>
      <c r="O288" s="447"/>
      <c r="P288" s="447"/>
    </row>
    <row r="289" spans="1:16" ht="15">
      <c r="A289" s="925">
        <v>284</v>
      </c>
      <c r="B289" s="929" t="s">
        <v>1017</v>
      </c>
      <c r="C289" s="927" t="s">
        <v>684</v>
      </c>
      <c r="D289" s="447">
        <v>2004</v>
      </c>
      <c r="E289" s="447">
        <v>10</v>
      </c>
      <c r="F289" s="928" t="s">
        <v>1780</v>
      </c>
      <c r="G289" s="447">
        <v>17</v>
      </c>
      <c r="H289" s="447"/>
      <c r="I289" s="447"/>
      <c r="J289" s="447">
        <v>0</v>
      </c>
      <c r="K289" s="448"/>
      <c r="L289" s="447"/>
      <c r="M289" s="447"/>
      <c r="N289" s="447"/>
      <c r="O289" s="447"/>
      <c r="P289" s="447"/>
    </row>
    <row r="290" spans="1:16" ht="15">
      <c r="A290" s="925">
        <v>285</v>
      </c>
      <c r="B290" s="929" t="s">
        <v>1018</v>
      </c>
      <c r="C290" s="927" t="s">
        <v>684</v>
      </c>
      <c r="D290" s="447">
        <v>2004</v>
      </c>
      <c r="E290" s="447">
        <v>10</v>
      </c>
      <c r="F290" s="928" t="s">
        <v>1780</v>
      </c>
      <c r="G290" s="447">
        <v>17</v>
      </c>
      <c r="H290" s="447"/>
      <c r="I290" s="447"/>
      <c r="J290" s="447">
        <v>4225.71</v>
      </c>
      <c r="K290" s="448"/>
      <c r="L290" s="447"/>
      <c r="M290" s="447"/>
      <c r="N290" s="447"/>
      <c r="O290" s="447"/>
      <c r="P290" s="447"/>
    </row>
    <row r="291" spans="1:16" ht="15">
      <c r="A291" s="925">
        <v>286</v>
      </c>
      <c r="B291" s="929" t="s">
        <v>1019</v>
      </c>
      <c r="C291" s="927" t="s">
        <v>677</v>
      </c>
      <c r="D291" s="447">
        <v>2005</v>
      </c>
      <c r="E291" s="447">
        <v>8</v>
      </c>
      <c r="F291" s="928" t="s">
        <v>1780</v>
      </c>
      <c r="G291" s="447">
        <v>11.5</v>
      </c>
      <c r="H291" s="447"/>
      <c r="I291" s="447"/>
      <c r="J291" s="447">
        <v>24732.83</v>
      </c>
      <c r="K291" s="448"/>
      <c r="L291" s="447"/>
      <c r="M291" s="447"/>
      <c r="N291" s="447"/>
      <c r="O291" s="447"/>
      <c r="P291" s="447"/>
    </row>
    <row r="292" spans="1:16" ht="15">
      <c r="A292" s="925">
        <v>287</v>
      </c>
      <c r="B292" s="929" t="s">
        <v>1020</v>
      </c>
      <c r="C292" s="927" t="s">
        <v>684</v>
      </c>
      <c r="D292" s="447">
        <v>2005</v>
      </c>
      <c r="E292" s="447">
        <v>10</v>
      </c>
      <c r="F292" s="928" t="s">
        <v>1780</v>
      </c>
      <c r="G292" s="447">
        <v>11</v>
      </c>
      <c r="H292" s="447"/>
      <c r="I292" s="447"/>
      <c r="J292" s="447">
        <v>2771.54</v>
      </c>
      <c r="K292" s="448"/>
      <c r="L292" s="447"/>
      <c r="M292" s="447"/>
      <c r="N292" s="447"/>
      <c r="O292" s="447"/>
      <c r="P292" s="447"/>
    </row>
    <row r="293" spans="1:16" ht="15">
      <c r="A293" s="925">
        <v>288</v>
      </c>
      <c r="B293" s="929" t="s">
        <v>1021</v>
      </c>
      <c r="C293" s="927" t="s">
        <v>684</v>
      </c>
      <c r="D293" s="447">
        <v>2006</v>
      </c>
      <c r="E293" s="447">
        <v>10</v>
      </c>
      <c r="F293" s="928" t="s">
        <v>1780</v>
      </c>
      <c r="G293" s="447">
        <v>17</v>
      </c>
      <c r="H293" s="447"/>
      <c r="I293" s="447"/>
      <c r="J293" s="447">
        <v>13394.97</v>
      </c>
      <c r="K293" s="448"/>
      <c r="L293" s="447"/>
      <c r="M293" s="447"/>
      <c r="N293" s="447"/>
      <c r="O293" s="447"/>
      <c r="P293" s="447"/>
    </row>
    <row r="294" spans="1:16" ht="15">
      <c r="A294" s="925">
        <v>289</v>
      </c>
      <c r="B294" s="929" t="s">
        <v>1022</v>
      </c>
      <c r="C294" s="927" t="s">
        <v>827</v>
      </c>
      <c r="D294" s="447">
        <v>1988</v>
      </c>
      <c r="E294" s="447">
        <v>10</v>
      </c>
      <c r="F294" s="928" t="s">
        <v>1780</v>
      </c>
      <c r="G294" s="447">
        <v>4.8</v>
      </c>
      <c r="H294" s="447"/>
      <c r="I294" s="447"/>
      <c r="J294" s="447">
        <v>0</v>
      </c>
      <c r="K294" s="448"/>
      <c r="L294" s="447"/>
      <c r="M294" s="447"/>
      <c r="N294" s="447"/>
      <c r="O294" s="447"/>
      <c r="P294" s="447"/>
    </row>
    <row r="295" spans="1:16" ht="15">
      <c r="A295" s="925">
        <v>290</v>
      </c>
      <c r="B295" s="929" t="s">
        <v>1023</v>
      </c>
      <c r="C295" s="927" t="s">
        <v>1024</v>
      </c>
      <c r="D295" s="447">
        <v>2000</v>
      </c>
      <c r="E295" s="447">
        <v>10</v>
      </c>
      <c r="F295" s="928" t="s">
        <v>1780</v>
      </c>
      <c r="G295" s="447">
        <v>0</v>
      </c>
      <c r="H295" s="447"/>
      <c r="I295" s="447"/>
      <c r="J295" s="447">
        <v>0</v>
      </c>
      <c r="K295" s="448"/>
      <c r="L295" s="447"/>
      <c r="M295" s="447"/>
      <c r="N295" s="447"/>
      <c r="O295" s="447"/>
      <c r="P295" s="447"/>
    </row>
    <row r="296" spans="1:16" ht="15">
      <c r="A296" s="925">
        <v>291</v>
      </c>
      <c r="B296" s="929" t="s">
        <v>1025</v>
      </c>
      <c r="C296" s="927" t="s">
        <v>777</v>
      </c>
      <c r="D296" s="447">
        <v>2008</v>
      </c>
      <c r="E296" s="447">
        <v>10</v>
      </c>
      <c r="F296" s="928" t="s">
        <v>1780</v>
      </c>
      <c r="G296" s="447">
        <v>17</v>
      </c>
      <c r="H296" s="447"/>
      <c r="I296" s="447"/>
      <c r="J296" s="447">
        <v>35157.800000000003</v>
      </c>
      <c r="K296" s="448"/>
      <c r="L296" s="447"/>
      <c r="M296" s="447"/>
      <c r="N296" s="447"/>
      <c r="O296" s="447"/>
      <c r="P296" s="447"/>
    </row>
    <row r="297" spans="1:16" ht="15">
      <c r="A297" s="925">
        <v>292</v>
      </c>
      <c r="B297" s="929" t="s">
        <v>1026</v>
      </c>
      <c r="C297" s="927" t="s">
        <v>1027</v>
      </c>
      <c r="D297" s="447">
        <v>2008</v>
      </c>
      <c r="E297" s="447">
        <v>10</v>
      </c>
      <c r="F297" s="928" t="s">
        <v>1780</v>
      </c>
      <c r="G297" s="447">
        <v>15.6</v>
      </c>
      <c r="H297" s="447"/>
      <c r="I297" s="447"/>
      <c r="J297" s="447">
        <v>237243.22</v>
      </c>
      <c r="K297" s="448"/>
      <c r="L297" s="447"/>
      <c r="M297" s="447"/>
      <c r="N297" s="447"/>
      <c r="O297" s="447"/>
      <c r="P297" s="447"/>
    </row>
    <row r="298" spans="1:16" ht="15">
      <c r="A298" s="925">
        <v>293</v>
      </c>
      <c r="B298" s="929" t="s">
        <v>1028</v>
      </c>
      <c r="C298" s="927" t="s">
        <v>779</v>
      </c>
      <c r="D298" s="447">
        <v>2007</v>
      </c>
      <c r="E298" s="447">
        <v>10</v>
      </c>
      <c r="F298" s="928" t="s">
        <v>1780</v>
      </c>
      <c r="G298" s="447">
        <v>17</v>
      </c>
      <c r="H298" s="447"/>
      <c r="I298" s="447"/>
      <c r="J298" s="447">
        <v>25830.91</v>
      </c>
      <c r="K298" s="448"/>
      <c r="L298" s="447"/>
      <c r="M298" s="447"/>
      <c r="N298" s="447"/>
      <c r="O298" s="447"/>
      <c r="P298" s="447"/>
    </row>
    <row r="299" spans="1:16" ht="15">
      <c r="A299" s="925">
        <v>294</v>
      </c>
      <c r="B299" s="929" t="s">
        <v>1029</v>
      </c>
      <c r="C299" s="927" t="s">
        <v>684</v>
      </c>
      <c r="D299" s="447">
        <v>2008</v>
      </c>
      <c r="E299" s="447">
        <v>10</v>
      </c>
      <c r="F299" s="928" t="s">
        <v>1780</v>
      </c>
      <c r="G299" s="447">
        <v>17</v>
      </c>
      <c r="H299" s="447"/>
      <c r="I299" s="447"/>
      <c r="J299" s="447">
        <v>53943.21</v>
      </c>
      <c r="K299" s="448"/>
      <c r="L299" s="447"/>
      <c r="M299" s="447"/>
      <c r="N299" s="447"/>
      <c r="O299" s="447"/>
      <c r="P299" s="447"/>
    </row>
    <row r="300" spans="1:16" ht="15">
      <c r="A300" s="925">
        <v>295</v>
      </c>
      <c r="B300" s="929" t="s">
        <v>1030</v>
      </c>
      <c r="C300" s="927" t="s">
        <v>779</v>
      </c>
      <c r="D300" s="447">
        <v>2011</v>
      </c>
      <c r="E300" s="447">
        <v>10</v>
      </c>
      <c r="F300" s="928" t="s">
        <v>1780</v>
      </c>
      <c r="G300" s="447">
        <v>17</v>
      </c>
      <c r="H300" s="447"/>
      <c r="I300" s="447"/>
      <c r="J300" s="447">
        <v>0</v>
      </c>
      <c r="K300" s="448"/>
      <c r="L300" s="447"/>
      <c r="M300" s="447"/>
      <c r="N300" s="447"/>
      <c r="O300" s="447"/>
      <c r="P300" s="447"/>
    </row>
    <row r="301" spans="1:16" ht="15">
      <c r="A301" s="925">
        <v>296</v>
      </c>
      <c r="B301" s="934" t="s">
        <v>1031</v>
      </c>
      <c r="C301" s="927" t="s">
        <v>779</v>
      </c>
      <c r="D301" s="447">
        <v>2011</v>
      </c>
      <c r="E301" s="447">
        <v>10</v>
      </c>
      <c r="F301" s="928" t="s">
        <v>1780</v>
      </c>
      <c r="G301" s="447">
        <v>17</v>
      </c>
      <c r="H301" s="447"/>
      <c r="I301" s="447"/>
      <c r="J301" s="447">
        <v>108798.93</v>
      </c>
      <c r="K301" s="448"/>
      <c r="L301" s="447"/>
      <c r="M301" s="447"/>
      <c r="N301" s="447"/>
      <c r="O301" s="447"/>
      <c r="P301" s="447"/>
    </row>
    <row r="302" spans="1:16" ht="15">
      <c r="A302" s="925">
        <v>297</v>
      </c>
      <c r="B302" s="934" t="s">
        <v>953</v>
      </c>
      <c r="C302" s="927" t="s">
        <v>779</v>
      </c>
      <c r="D302" s="447">
        <v>2011</v>
      </c>
      <c r="E302" s="447">
        <v>10</v>
      </c>
      <c r="F302" s="928" t="s">
        <v>1780</v>
      </c>
      <c r="G302" s="447">
        <v>18.100000000000001</v>
      </c>
      <c r="H302" s="447"/>
      <c r="I302" s="447"/>
      <c r="J302" s="447">
        <v>117664.02</v>
      </c>
      <c r="K302" s="448"/>
      <c r="L302" s="447"/>
      <c r="M302" s="447"/>
      <c r="N302" s="447"/>
      <c r="O302" s="447"/>
      <c r="P302" s="447"/>
    </row>
    <row r="303" spans="1:16" ht="15">
      <c r="A303" s="925">
        <v>298</v>
      </c>
      <c r="B303" s="934" t="s">
        <v>1032</v>
      </c>
      <c r="C303" s="927" t="s">
        <v>938</v>
      </c>
      <c r="D303" s="447">
        <v>2011</v>
      </c>
      <c r="E303" s="447">
        <v>10</v>
      </c>
      <c r="F303" s="928" t="s">
        <v>1780</v>
      </c>
      <c r="G303" s="447">
        <v>21.9</v>
      </c>
      <c r="H303" s="447"/>
      <c r="I303" s="447"/>
      <c r="J303" s="447">
        <v>320479.77</v>
      </c>
      <c r="K303" s="448"/>
      <c r="L303" s="447"/>
      <c r="M303" s="447"/>
      <c r="N303" s="447"/>
      <c r="O303" s="447"/>
      <c r="P303" s="447"/>
    </row>
    <row r="304" spans="1:16" ht="15">
      <c r="A304" s="925">
        <v>299</v>
      </c>
      <c r="B304" s="929" t="s">
        <v>1033</v>
      </c>
      <c r="C304" s="927" t="s">
        <v>684</v>
      </c>
      <c r="D304" s="447">
        <v>2004</v>
      </c>
      <c r="E304" s="447">
        <v>10</v>
      </c>
      <c r="F304" s="928" t="s">
        <v>1781</v>
      </c>
      <c r="G304" s="447">
        <v>17</v>
      </c>
      <c r="H304" s="447"/>
      <c r="I304" s="447"/>
      <c r="J304" s="447">
        <v>0</v>
      </c>
      <c r="K304" s="448"/>
      <c r="L304" s="447"/>
      <c r="M304" s="447"/>
      <c r="N304" s="447"/>
      <c r="O304" s="447"/>
      <c r="P304" s="447"/>
    </row>
    <row r="305" spans="1:16" ht="15">
      <c r="A305" s="925">
        <v>300</v>
      </c>
      <c r="B305" s="929" t="s">
        <v>1034</v>
      </c>
      <c r="C305" s="927" t="s">
        <v>735</v>
      </c>
      <c r="D305" s="447">
        <v>1979</v>
      </c>
      <c r="E305" s="447">
        <v>10</v>
      </c>
      <c r="F305" s="928" t="s">
        <v>1781</v>
      </c>
      <c r="G305" s="447">
        <v>25</v>
      </c>
      <c r="H305" s="447"/>
      <c r="I305" s="447"/>
      <c r="J305" s="447">
        <v>0</v>
      </c>
      <c r="K305" s="448"/>
      <c r="L305" s="447"/>
      <c r="M305" s="447"/>
      <c r="N305" s="447"/>
      <c r="O305" s="447"/>
      <c r="P305" s="447"/>
    </row>
    <row r="306" spans="1:16" ht="15">
      <c r="A306" s="925">
        <v>301</v>
      </c>
      <c r="B306" s="929" t="s">
        <v>1035</v>
      </c>
      <c r="C306" s="927" t="s">
        <v>735</v>
      </c>
      <c r="D306" s="447">
        <v>1990</v>
      </c>
      <c r="E306" s="447">
        <v>10</v>
      </c>
      <c r="F306" s="928" t="s">
        <v>1781</v>
      </c>
      <c r="G306" s="447">
        <v>31</v>
      </c>
      <c r="H306" s="447"/>
      <c r="I306" s="447"/>
      <c r="J306" s="447">
        <v>53107.519999999997</v>
      </c>
      <c r="K306" s="448"/>
      <c r="L306" s="447"/>
      <c r="M306" s="447"/>
      <c r="N306" s="447"/>
      <c r="O306" s="447"/>
      <c r="P306" s="447"/>
    </row>
    <row r="307" spans="1:16" ht="15">
      <c r="A307" s="925">
        <v>302</v>
      </c>
      <c r="B307" s="929" t="s">
        <v>1036</v>
      </c>
      <c r="C307" s="927" t="s">
        <v>691</v>
      </c>
      <c r="D307" s="447">
        <v>1988</v>
      </c>
      <c r="E307" s="447">
        <v>10</v>
      </c>
      <c r="F307" s="928" t="s">
        <v>1781</v>
      </c>
      <c r="G307" s="447">
        <v>27</v>
      </c>
      <c r="H307" s="447"/>
      <c r="I307" s="447"/>
      <c r="J307" s="447">
        <v>0</v>
      </c>
      <c r="K307" s="448"/>
      <c r="L307" s="447"/>
      <c r="M307" s="447"/>
      <c r="N307" s="447"/>
      <c r="O307" s="447"/>
      <c r="P307" s="447"/>
    </row>
    <row r="308" spans="1:16" ht="15">
      <c r="A308" s="925">
        <v>303</v>
      </c>
      <c r="B308" s="929" t="s">
        <v>1037</v>
      </c>
      <c r="C308" s="927" t="s">
        <v>684</v>
      </c>
      <c r="D308" s="447">
        <v>2000</v>
      </c>
      <c r="E308" s="447">
        <v>10</v>
      </c>
      <c r="F308" s="928" t="s">
        <v>1781</v>
      </c>
      <c r="G308" s="447">
        <v>17</v>
      </c>
      <c r="H308" s="447"/>
      <c r="I308" s="447"/>
      <c r="J308" s="447">
        <v>0</v>
      </c>
      <c r="K308" s="448"/>
      <c r="L308" s="447"/>
      <c r="M308" s="447"/>
      <c r="N308" s="447"/>
      <c r="O308" s="447"/>
      <c r="P308" s="447"/>
    </row>
    <row r="309" spans="1:16" ht="15">
      <c r="A309" s="925">
        <v>304</v>
      </c>
      <c r="B309" s="929" t="s">
        <v>1038</v>
      </c>
      <c r="C309" s="927" t="s">
        <v>696</v>
      </c>
      <c r="D309" s="447">
        <v>2001</v>
      </c>
      <c r="E309" s="447">
        <v>10</v>
      </c>
      <c r="F309" s="928" t="s">
        <v>1781</v>
      </c>
      <c r="G309" s="447">
        <v>17.899999999999999</v>
      </c>
      <c r="H309" s="447"/>
      <c r="I309" s="447"/>
      <c r="J309" s="447">
        <v>0</v>
      </c>
      <c r="K309" s="448"/>
      <c r="L309" s="447"/>
      <c r="M309" s="447"/>
      <c r="N309" s="447"/>
      <c r="O309" s="447"/>
      <c r="P309" s="447"/>
    </row>
    <row r="310" spans="1:16" ht="15">
      <c r="A310" s="925">
        <v>305</v>
      </c>
      <c r="B310" s="929" t="s">
        <v>1039</v>
      </c>
      <c r="C310" s="927" t="s">
        <v>684</v>
      </c>
      <c r="D310" s="447">
        <v>2004</v>
      </c>
      <c r="E310" s="447">
        <v>10</v>
      </c>
      <c r="F310" s="928" t="s">
        <v>1781</v>
      </c>
      <c r="G310" s="447">
        <v>17</v>
      </c>
      <c r="H310" s="447"/>
      <c r="I310" s="447"/>
      <c r="J310" s="447">
        <v>0</v>
      </c>
      <c r="K310" s="448"/>
      <c r="L310" s="447"/>
      <c r="M310" s="447"/>
      <c r="N310" s="447"/>
      <c r="O310" s="447"/>
      <c r="P310" s="447"/>
    </row>
    <row r="311" spans="1:16" ht="15">
      <c r="A311" s="925">
        <v>306</v>
      </c>
      <c r="B311" s="929" t="s">
        <v>1040</v>
      </c>
      <c r="C311" s="927" t="s">
        <v>684</v>
      </c>
      <c r="D311" s="447">
        <v>2004</v>
      </c>
      <c r="E311" s="447">
        <v>10</v>
      </c>
      <c r="F311" s="928" t="s">
        <v>1781</v>
      </c>
      <c r="G311" s="447">
        <v>17</v>
      </c>
      <c r="H311" s="447"/>
      <c r="I311" s="447"/>
      <c r="J311" s="447">
        <v>0</v>
      </c>
      <c r="K311" s="448"/>
      <c r="L311" s="447"/>
      <c r="M311" s="447"/>
      <c r="N311" s="447"/>
      <c r="O311" s="447"/>
      <c r="P311" s="447"/>
    </row>
    <row r="312" spans="1:16" ht="15">
      <c r="A312" s="925">
        <v>307</v>
      </c>
      <c r="B312" s="929" t="s">
        <v>1041</v>
      </c>
      <c r="C312" s="927" t="s">
        <v>885</v>
      </c>
      <c r="D312" s="447">
        <v>1989</v>
      </c>
      <c r="E312" s="447">
        <v>10</v>
      </c>
      <c r="F312" s="928" t="s">
        <v>1781</v>
      </c>
      <c r="G312" s="447">
        <v>46</v>
      </c>
      <c r="H312" s="447"/>
      <c r="I312" s="447"/>
      <c r="J312" s="447">
        <v>0</v>
      </c>
      <c r="K312" s="448"/>
      <c r="L312" s="447"/>
      <c r="M312" s="447"/>
      <c r="N312" s="447"/>
      <c r="O312" s="447"/>
      <c r="P312" s="447"/>
    </row>
    <row r="313" spans="1:16" ht="15">
      <c r="A313" s="925">
        <v>308</v>
      </c>
      <c r="B313" s="929" t="s">
        <v>1042</v>
      </c>
      <c r="C313" s="927" t="s">
        <v>809</v>
      </c>
      <c r="D313" s="447">
        <v>1977</v>
      </c>
      <c r="E313" s="447">
        <v>10</v>
      </c>
      <c r="F313" s="928" t="s">
        <v>1781</v>
      </c>
      <c r="G313" s="447">
        <v>40</v>
      </c>
      <c r="H313" s="447"/>
      <c r="I313" s="447"/>
      <c r="J313" s="447">
        <v>0</v>
      </c>
      <c r="K313" s="448"/>
      <c r="L313" s="447"/>
      <c r="M313" s="447"/>
      <c r="N313" s="447"/>
      <c r="O313" s="447"/>
      <c r="P313" s="447"/>
    </row>
    <row r="314" spans="1:16" ht="15">
      <c r="A314" s="925">
        <v>309</v>
      </c>
      <c r="B314" s="929" t="s">
        <v>1043</v>
      </c>
      <c r="C314" s="927" t="s">
        <v>735</v>
      </c>
      <c r="D314" s="447">
        <v>2001</v>
      </c>
      <c r="E314" s="447">
        <v>10</v>
      </c>
      <c r="F314" s="928" t="s">
        <v>1781</v>
      </c>
      <c r="G314" s="447">
        <v>17.899999999999999</v>
      </c>
      <c r="H314" s="447"/>
      <c r="I314" s="447"/>
      <c r="J314" s="447">
        <v>0</v>
      </c>
      <c r="K314" s="448"/>
      <c r="L314" s="447"/>
      <c r="M314" s="447"/>
      <c r="N314" s="447"/>
      <c r="O314" s="447"/>
      <c r="P314" s="447"/>
    </row>
    <row r="315" spans="1:16" ht="15">
      <c r="A315" s="925">
        <v>310</v>
      </c>
      <c r="B315" s="929" t="s">
        <v>1044</v>
      </c>
      <c r="C315" s="927" t="s">
        <v>684</v>
      </c>
      <c r="D315" s="447">
        <v>1996</v>
      </c>
      <c r="E315" s="447">
        <v>10</v>
      </c>
      <c r="F315" s="928" t="s">
        <v>1781</v>
      </c>
      <c r="G315" s="447">
        <v>17</v>
      </c>
      <c r="H315" s="447"/>
      <c r="I315" s="447"/>
      <c r="J315" s="447">
        <v>0</v>
      </c>
      <c r="K315" s="448"/>
      <c r="L315" s="447"/>
      <c r="M315" s="447"/>
      <c r="N315" s="447"/>
      <c r="O315" s="447"/>
      <c r="P315" s="447"/>
    </row>
    <row r="316" spans="1:16" ht="15">
      <c r="A316" s="925">
        <v>311</v>
      </c>
      <c r="B316" s="929" t="s">
        <v>1045</v>
      </c>
      <c r="C316" s="927" t="s">
        <v>684</v>
      </c>
      <c r="D316" s="447">
        <v>2002</v>
      </c>
      <c r="E316" s="447">
        <v>10</v>
      </c>
      <c r="F316" s="928" t="s">
        <v>1781</v>
      </c>
      <c r="G316" s="447">
        <v>17</v>
      </c>
      <c r="H316" s="447"/>
      <c r="I316" s="447"/>
      <c r="J316" s="447">
        <v>0</v>
      </c>
      <c r="K316" s="448"/>
      <c r="L316" s="447"/>
      <c r="M316" s="447"/>
      <c r="N316" s="447"/>
      <c r="O316" s="447"/>
      <c r="P316" s="447"/>
    </row>
    <row r="317" spans="1:16" ht="15">
      <c r="A317" s="925">
        <v>312</v>
      </c>
      <c r="B317" s="929" t="s">
        <v>1046</v>
      </c>
      <c r="C317" s="927" t="s">
        <v>850</v>
      </c>
      <c r="D317" s="447">
        <v>1988</v>
      </c>
      <c r="E317" s="447">
        <v>10</v>
      </c>
      <c r="F317" s="928" t="s">
        <v>1781</v>
      </c>
      <c r="G317" s="447">
        <v>15.6</v>
      </c>
      <c r="H317" s="447"/>
      <c r="I317" s="447"/>
      <c r="J317" s="447">
        <v>7211.24</v>
      </c>
      <c r="K317" s="448"/>
      <c r="L317" s="447"/>
      <c r="M317" s="447"/>
      <c r="N317" s="447"/>
      <c r="O317" s="447"/>
      <c r="P317" s="447"/>
    </row>
    <row r="318" spans="1:16" ht="15">
      <c r="A318" s="925">
        <v>313</v>
      </c>
      <c r="B318" s="929" t="s">
        <v>1047</v>
      </c>
      <c r="C318" s="927" t="s">
        <v>1048</v>
      </c>
      <c r="D318" s="447">
        <v>1990</v>
      </c>
      <c r="E318" s="447">
        <v>10</v>
      </c>
      <c r="F318" s="928" t="s">
        <v>1781</v>
      </c>
      <c r="G318" s="447">
        <v>40</v>
      </c>
      <c r="H318" s="447"/>
      <c r="I318" s="447"/>
      <c r="J318" s="447">
        <v>0</v>
      </c>
      <c r="K318" s="448"/>
      <c r="L318" s="447"/>
      <c r="M318" s="447"/>
      <c r="N318" s="447"/>
      <c r="O318" s="447"/>
      <c r="P318" s="447"/>
    </row>
    <row r="319" spans="1:16" ht="26.25">
      <c r="A319" s="925">
        <v>314</v>
      </c>
      <c r="B319" s="929" t="s">
        <v>1049</v>
      </c>
      <c r="C319" s="927" t="s">
        <v>824</v>
      </c>
      <c r="D319" s="447">
        <v>1982</v>
      </c>
      <c r="E319" s="447">
        <v>10</v>
      </c>
      <c r="F319" s="928" t="s">
        <v>1781</v>
      </c>
      <c r="G319" s="447">
        <v>31</v>
      </c>
      <c r="H319" s="447"/>
      <c r="I319" s="447"/>
      <c r="J319" s="447">
        <v>0</v>
      </c>
      <c r="K319" s="933" t="s">
        <v>537</v>
      </c>
      <c r="L319" s="449" t="s">
        <v>540</v>
      </c>
      <c r="M319" s="447" t="s">
        <v>1204</v>
      </c>
      <c r="N319" s="447">
        <v>551.66999999999996</v>
      </c>
      <c r="O319" s="447">
        <v>15.6</v>
      </c>
      <c r="P319" s="447">
        <v>3</v>
      </c>
    </row>
    <row r="320" spans="1:16" ht="15">
      <c r="A320" s="925">
        <v>315</v>
      </c>
      <c r="B320" s="929" t="s">
        <v>1050</v>
      </c>
      <c r="C320" s="927" t="s">
        <v>827</v>
      </c>
      <c r="D320" s="447">
        <v>1982</v>
      </c>
      <c r="E320" s="447">
        <v>10</v>
      </c>
      <c r="F320" s="928" t="s">
        <v>1781</v>
      </c>
      <c r="G320" s="447">
        <v>4.8</v>
      </c>
      <c r="H320" s="447"/>
      <c r="I320" s="447"/>
      <c r="J320" s="447">
        <v>0</v>
      </c>
      <c r="K320" s="448"/>
      <c r="L320" s="447"/>
      <c r="M320" s="447"/>
      <c r="N320" s="447"/>
      <c r="O320" s="447"/>
      <c r="P320" s="447"/>
    </row>
    <row r="321" spans="1:16" ht="26.25">
      <c r="A321" s="925">
        <v>316</v>
      </c>
      <c r="B321" s="929" t="s">
        <v>1051</v>
      </c>
      <c r="C321" s="927" t="s">
        <v>822</v>
      </c>
      <c r="D321" s="447">
        <v>1987</v>
      </c>
      <c r="E321" s="447">
        <v>10</v>
      </c>
      <c r="F321" s="928" t="s">
        <v>1781</v>
      </c>
      <c r="G321" s="447">
        <v>26</v>
      </c>
      <c r="H321" s="447"/>
      <c r="I321" s="447"/>
      <c r="J321" s="447">
        <v>0</v>
      </c>
      <c r="K321" s="933" t="s">
        <v>537</v>
      </c>
      <c r="L321" s="447" t="s">
        <v>538</v>
      </c>
      <c r="M321" s="447" t="s">
        <v>539</v>
      </c>
      <c r="N321" s="447">
        <v>408.13</v>
      </c>
      <c r="O321" s="447">
        <v>20</v>
      </c>
      <c r="P321" s="447">
        <v>3</v>
      </c>
    </row>
    <row r="322" spans="1:16" ht="15">
      <c r="A322" s="925">
        <v>317</v>
      </c>
      <c r="B322" s="929" t="s">
        <v>1052</v>
      </c>
      <c r="C322" s="927" t="s">
        <v>677</v>
      </c>
      <c r="D322" s="447">
        <v>2005</v>
      </c>
      <c r="E322" s="447">
        <v>8</v>
      </c>
      <c r="F322" s="928" t="s">
        <v>1781</v>
      </c>
      <c r="G322" s="447">
        <v>11.5</v>
      </c>
      <c r="H322" s="447"/>
      <c r="I322" s="447"/>
      <c r="J322" s="447">
        <v>24760.76</v>
      </c>
      <c r="K322" s="448"/>
      <c r="L322" s="447"/>
      <c r="M322" s="447"/>
      <c r="N322" s="447"/>
      <c r="O322" s="447"/>
      <c r="P322" s="447"/>
    </row>
    <row r="323" spans="1:16" ht="15">
      <c r="A323" s="925">
        <v>318</v>
      </c>
      <c r="B323" s="929" t="s">
        <v>1053</v>
      </c>
      <c r="C323" s="927" t="s">
        <v>684</v>
      </c>
      <c r="D323" s="447">
        <v>2004</v>
      </c>
      <c r="E323" s="447">
        <v>10</v>
      </c>
      <c r="F323" s="928" t="s">
        <v>1781</v>
      </c>
      <c r="G323" s="447">
        <v>17</v>
      </c>
      <c r="H323" s="447"/>
      <c r="I323" s="447"/>
      <c r="J323" s="447">
        <v>4066.28</v>
      </c>
      <c r="K323" s="448"/>
      <c r="L323" s="332"/>
      <c r="M323" s="447"/>
      <c r="N323" s="447"/>
      <c r="O323" s="447"/>
      <c r="P323" s="447"/>
    </row>
    <row r="324" spans="1:16" ht="15">
      <c r="A324" s="925">
        <v>319</v>
      </c>
      <c r="B324" s="929" t="s">
        <v>1054</v>
      </c>
      <c r="C324" s="927" t="s">
        <v>677</v>
      </c>
      <c r="D324" s="447">
        <v>1998</v>
      </c>
      <c r="E324" s="447">
        <v>8</v>
      </c>
      <c r="F324" s="928" t="s">
        <v>1781</v>
      </c>
      <c r="G324" s="447">
        <v>16.7</v>
      </c>
      <c r="H324" s="447"/>
      <c r="I324" s="447"/>
      <c r="J324" s="447">
        <v>0</v>
      </c>
      <c r="K324" s="448"/>
      <c r="L324" s="332"/>
      <c r="M324" s="447"/>
      <c r="N324" s="447"/>
      <c r="O324" s="447"/>
      <c r="P324" s="447"/>
    </row>
    <row r="325" spans="1:16" ht="15">
      <c r="A325" s="925">
        <v>320</v>
      </c>
      <c r="B325" s="929" t="s">
        <v>1055</v>
      </c>
      <c r="C325" s="927" t="s">
        <v>764</v>
      </c>
      <c r="D325" s="447">
        <v>1990</v>
      </c>
      <c r="E325" s="447">
        <v>10</v>
      </c>
      <c r="F325" s="928" t="s">
        <v>1781</v>
      </c>
      <c r="G325" s="447">
        <v>0</v>
      </c>
      <c r="H325" s="447"/>
      <c r="I325" s="447"/>
      <c r="J325" s="447">
        <v>0</v>
      </c>
      <c r="K325" s="448"/>
      <c r="L325" s="447"/>
      <c r="M325" s="447"/>
      <c r="N325" s="447"/>
      <c r="O325" s="447"/>
      <c r="P325" s="447"/>
    </row>
    <row r="326" spans="1:16" ht="15">
      <c r="A326" s="925">
        <v>321</v>
      </c>
      <c r="B326" s="929" t="s">
        <v>1056</v>
      </c>
      <c r="C326" s="927" t="s">
        <v>833</v>
      </c>
      <c r="D326" s="447">
        <v>1959</v>
      </c>
      <c r="E326" s="447">
        <v>10</v>
      </c>
      <c r="F326" s="928" t="s">
        <v>1781</v>
      </c>
      <c r="G326" s="447">
        <v>0</v>
      </c>
      <c r="H326" s="447"/>
      <c r="I326" s="447"/>
      <c r="J326" s="447">
        <v>0</v>
      </c>
      <c r="K326" s="448"/>
      <c r="L326" s="447"/>
      <c r="M326" s="447"/>
      <c r="N326" s="447"/>
      <c r="O326" s="447"/>
      <c r="P326" s="447"/>
    </row>
    <row r="327" spans="1:16" ht="15">
      <c r="A327" s="925">
        <v>322</v>
      </c>
      <c r="B327" s="929" t="s">
        <v>1057</v>
      </c>
      <c r="C327" s="927" t="s">
        <v>777</v>
      </c>
      <c r="D327" s="447">
        <v>2008</v>
      </c>
      <c r="E327" s="447">
        <v>10</v>
      </c>
      <c r="F327" s="928" t="s">
        <v>1781</v>
      </c>
      <c r="G327" s="447">
        <v>17</v>
      </c>
      <c r="H327" s="447"/>
      <c r="I327" s="447"/>
      <c r="J327" s="447">
        <v>35089.67</v>
      </c>
      <c r="K327" s="448"/>
      <c r="L327" s="447"/>
      <c r="M327" s="447"/>
      <c r="N327" s="447"/>
      <c r="O327" s="447"/>
      <c r="P327" s="447"/>
    </row>
    <row r="328" spans="1:16" ht="15">
      <c r="A328" s="925">
        <v>323</v>
      </c>
      <c r="B328" s="929" t="s">
        <v>1058</v>
      </c>
      <c r="C328" s="927" t="s">
        <v>779</v>
      </c>
      <c r="D328" s="447">
        <v>2007</v>
      </c>
      <c r="E328" s="447">
        <v>10</v>
      </c>
      <c r="F328" s="928" t="s">
        <v>1781</v>
      </c>
      <c r="G328" s="447">
        <v>17</v>
      </c>
      <c r="H328" s="447"/>
      <c r="I328" s="447"/>
      <c r="J328" s="447">
        <v>25830.91</v>
      </c>
      <c r="K328" s="448"/>
      <c r="L328" s="447"/>
      <c r="M328" s="447"/>
      <c r="N328" s="447"/>
      <c r="O328" s="447"/>
      <c r="P328" s="447"/>
    </row>
    <row r="329" spans="1:16" ht="15">
      <c r="A329" s="925">
        <v>324</v>
      </c>
      <c r="B329" s="929" t="s">
        <v>1059</v>
      </c>
      <c r="C329" s="927" t="s">
        <v>684</v>
      </c>
      <c r="D329" s="447">
        <v>2008</v>
      </c>
      <c r="E329" s="447">
        <v>10</v>
      </c>
      <c r="F329" s="928" t="s">
        <v>1781</v>
      </c>
      <c r="G329" s="447">
        <v>17</v>
      </c>
      <c r="H329" s="447"/>
      <c r="I329" s="447"/>
      <c r="J329" s="447">
        <v>53985.73</v>
      </c>
      <c r="K329" s="448"/>
      <c r="L329" s="447"/>
      <c r="M329" s="447"/>
      <c r="N329" s="447"/>
      <c r="O329" s="447"/>
      <c r="P329" s="447"/>
    </row>
    <row r="330" spans="1:16" ht="15">
      <c r="A330" s="925">
        <v>325</v>
      </c>
      <c r="B330" s="929" t="s">
        <v>1060</v>
      </c>
      <c r="C330" s="927" t="s">
        <v>933</v>
      </c>
      <c r="D330" s="447">
        <v>2009</v>
      </c>
      <c r="E330" s="447">
        <v>8</v>
      </c>
      <c r="F330" s="928" t="s">
        <v>1781</v>
      </c>
      <c r="G330" s="447">
        <v>11.5</v>
      </c>
      <c r="H330" s="447"/>
      <c r="I330" s="447"/>
      <c r="J330" s="447">
        <v>49104.71</v>
      </c>
      <c r="K330" s="448"/>
      <c r="L330" s="447"/>
      <c r="M330" s="447"/>
      <c r="N330" s="447"/>
      <c r="O330" s="447"/>
      <c r="P330" s="447"/>
    </row>
    <row r="331" spans="1:16" ht="15">
      <c r="A331" s="925">
        <v>326</v>
      </c>
      <c r="B331" s="934" t="s">
        <v>1061</v>
      </c>
      <c r="C331" s="927" t="s">
        <v>684</v>
      </c>
      <c r="D331" s="447">
        <v>2011</v>
      </c>
      <c r="E331" s="447">
        <v>10</v>
      </c>
      <c r="F331" s="928" t="s">
        <v>1781</v>
      </c>
      <c r="G331" s="447">
        <v>17</v>
      </c>
      <c r="H331" s="447"/>
      <c r="I331" s="447"/>
      <c r="J331" s="447">
        <v>108798.93</v>
      </c>
      <c r="K331" s="448"/>
      <c r="L331" s="447"/>
      <c r="M331" s="447"/>
      <c r="N331" s="447"/>
      <c r="O331" s="447"/>
      <c r="P331" s="447"/>
    </row>
    <row r="332" spans="1:16" ht="15">
      <c r="A332" s="925">
        <v>327</v>
      </c>
      <c r="B332" s="934" t="s">
        <v>954</v>
      </c>
      <c r="C332" s="927" t="s">
        <v>933</v>
      </c>
      <c r="D332" s="447">
        <v>2012</v>
      </c>
      <c r="E332" s="447">
        <v>8</v>
      </c>
      <c r="F332" s="928" t="s">
        <v>1781</v>
      </c>
      <c r="G332" s="447">
        <v>11.5</v>
      </c>
      <c r="H332" s="447"/>
      <c r="I332" s="447"/>
      <c r="J332" s="447">
        <v>71625</v>
      </c>
      <c r="K332" s="448"/>
      <c r="L332" s="447"/>
      <c r="M332" s="447"/>
      <c r="N332" s="447"/>
      <c r="O332" s="447"/>
      <c r="P332" s="447"/>
    </row>
    <row r="333" spans="1:16" ht="15">
      <c r="A333" s="925">
        <v>328</v>
      </c>
      <c r="B333" s="929" t="s">
        <v>1062</v>
      </c>
      <c r="C333" s="927" t="s">
        <v>684</v>
      </c>
      <c r="D333" s="447">
        <v>2004</v>
      </c>
      <c r="E333" s="447">
        <v>10</v>
      </c>
      <c r="F333" s="928" t="s">
        <v>1782</v>
      </c>
      <c r="G333" s="447">
        <v>17</v>
      </c>
      <c r="H333" s="447"/>
      <c r="I333" s="447"/>
      <c r="J333" s="447">
        <v>0</v>
      </c>
      <c r="K333" s="448"/>
      <c r="L333" s="447"/>
      <c r="M333" s="447"/>
      <c r="N333" s="447"/>
      <c r="O333" s="447"/>
      <c r="P333" s="447"/>
    </row>
    <row r="334" spans="1:16" ht="15">
      <c r="A334" s="925">
        <v>329</v>
      </c>
      <c r="B334" s="929" t="s">
        <v>1063</v>
      </c>
      <c r="C334" s="927" t="s">
        <v>938</v>
      </c>
      <c r="D334" s="447">
        <v>2004</v>
      </c>
      <c r="E334" s="447">
        <v>10</v>
      </c>
      <c r="F334" s="928" t="s">
        <v>1782</v>
      </c>
      <c r="G334" s="447">
        <v>39</v>
      </c>
      <c r="H334" s="447"/>
      <c r="I334" s="447"/>
      <c r="J334" s="447">
        <v>66823.320000000007</v>
      </c>
      <c r="K334" s="448"/>
      <c r="L334" s="447"/>
      <c r="M334" s="447"/>
      <c r="N334" s="447"/>
      <c r="O334" s="447"/>
      <c r="P334" s="447"/>
    </row>
    <row r="335" spans="1:16" ht="15">
      <c r="A335" s="925">
        <v>330</v>
      </c>
      <c r="B335" s="929" t="s">
        <v>1064</v>
      </c>
      <c r="C335" s="927" t="s">
        <v>919</v>
      </c>
      <c r="D335" s="447">
        <v>1989</v>
      </c>
      <c r="E335" s="447">
        <v>10</v>
      </c>
      <c r="F335" s="928" t="s">
        <v>1782</v>
      </c>
      <c r="G335" s="447">
        <v>15.6</v>
      </c>
      <c r="H335" s="447"/>
      <c r="I335" s="447"/>
      <c r="J335" s="447">
        <v>0</v>
      </c>
      <c r="K335" s="448"/>
      <c r="L335" s="447"/>
      <c r="M335" s="447"/>
      <c r="N335" s="447"/>
      <c r="O335" s="447"/>
      <c r="P335" s="447"/>
    </row>
    <row r="336" spans="1:16" ht="15">
      <c r="A336" s="925">
        <v>331</v>
      </c>
      <c r="B336" s="929" t="s">
        <v>1065</v>
      </c>
      <c r="C336" s="927" t="s">
        <v>684</v>
      </c>
      <c r="D336" s="447">
        <v>1999</v>
      </c>
      <c r="E336" s="447">
        <v>10</v>
      </c>
      <c r="F336" s="928" t="s">
        <v>1782</v>
      </c>
      <c r="G336" s="447">
        <v>17</v>
      </c>
      <c r="H336" s="447"/>
      <c r="I336" s="447"/>
      <c r="J336" s="447">
        <v>0</v>
      </c>
      <c r="K336" s="448"/>
      <c r="L336" s="447"/>
      <c r="M336" s="447"/>
      <c r="N336" s="447"/>
      <c r="O336" s="447"/>
      <c r="P336" s="447"/>
    </row>
    <row r="337" spans="1:16" ht="15">
      <c r="A337" s="925">
        <v>332</v>
      </c>
      <c r="B337" s="929" t="s">
        <v>1066</v>
      </c>
      <c r="C337" s="927" t="s">
        <v>735</v>
      </c>
      <c r="D337" s="447">
        <v>2000</v>
      </c>
      <c r="E337" s="447">
        <v>10</v>
      </c>
      <c r="F337" s="928" t="s">
        <v>1782</v>
      </c>
      <c r="G337" s="447">
        <v>17.899999999999999</v>
      </c>
      <c r="H337" s="447"/>
      <c r="I337" s="447"/>
      <c r="J337" s="447">
        <v>0</v>
      </c>
      <c r="K337" s="448"/>
      <c r="L337" s="447"/>
      <c r="M337" s="447"/>
      <c r="N337" s="447"/>
      <c r="O337" s="447"/>
      <c r="P337" s="447"/>
    </row>
    <row r="338" spans="1:16" ht="15">
      <c r="A338" s="925">
        <v>333</v>
      </c>
      <c r="B338" s="929" t="s">
        <v>1067</v>
      </c>
      <c r="C338" s="927" t="s">
        <v>691</v>
      </c>
      <c r="D338" s="447">
        <v>1990</v>
      </c>
      <c r="E338" s="447">
        <v>10</v>
      </c>
      <c r="F338" s="928" t="s">
        <v>1782</v>
      </c>
      <c r="G338" s="447">
        <v>27</v>
      </c>
      <c r="H338" s="447"/>
      <c r="I338" s="447"/>
      <c r="J338" s="447">
        <v>0</v>
      </c>
      <c r="K338" s="448"/>
      <c r="L338" s="447"/>
      <c r="M338" s="447"/>
      <c r="N338" s="447"/>
      <c r="O338" s="447"/>
      <c r="P338" s="447"/>
    </row>
    <row r="339" spans="1:16" ht="15">
      <c r="A339" s="925">
        <v>334</v>
      </c>
      <c r="B339" s="929" t="s">
        <v>1068</v>
      </c>
      <c r="C339" s="927" t="s">
        <v>684</v>
      </c>
      <c r="D339" s="447">
        <v>2002</v>
      </c>
      <c r="E339" s="447">
        <v>10</v>
      </c>
      <c r="F339" s="928" t="s">
        <v>1782</v>
      </c>
      <c r="G339" s="447">
        <v>17</v>
      </c>
      <c r="H339" s="447"/>
      <c r="I339" s="447"/>
      <c r="J339" s="447">
        <v>0</v>
      </c>
      <c r="K339" s="448"/>
      <c r="L339" s="447"/>
      <c r="M339" s="447"/>
      <c r="N339" s="447"/>
      <c r="O339" s="447"/>
      <c r="P339" s="447"/>
    </row>
    <row r="340" spans="1:16" ht="15">
      <c r="A340" s="925">
        <v>335</v>
      </c>
      <c r="B340" s="925" t="s">
        <v>1069</v>
      </c>
      <c r="C340" s="927" t="s">
        <v>985</v>
      </c>
      <c r="D340" s="447">
        <v>2012</v>
      </c>
      <c r="E340" s="447">
        <v>0</v>
      </c>
      <c r="F340" s="928" t="s">
        <v>1782</v>
      </c>
      <c r="G340" s="447">
        <v>11.5</v>
      </c>
      <c r="H340" s="447"/>
      <c r="I340" s="447"/>
      <c r="J340" s="447">
        <v>75976.05</v>
      </c>
      <c r="K340" s="448"/>
      <c r="L340" s="447"/>
      <c r="M340" s="447"/>
      <c r="N340" s="447"/>
      <c r="O340" s="447"/>
      <c r="P340" s="447"/>
    </row>
    <row r="341" spans="1:16" ht="15">
      <c r="A341" s="925">
        <v>336</v>
      </c>
      <c r="B341" s="929" t="s">
        <v>1070</v>
      </c>
      <c r="C341" s="927" t="s">
        <v>677</v>
      </c>
      <c r="D341" s="447">
        <v>1988</v>
      </c>
      <c r="E341" s="447">
        <v>8</v>
      </c>
      <c r="F341" s="928" t="s">
        <v>1782</v>
      </c>
      <c r="G341" s="447">
        <v>15.5</v>
      </c>
      <c r="H341" s="447">
        <v>1.2</v>
      </c>
      <c r="I341" s="447">
        <v>14.4</v>
      </c>
      <c r="J341" s="447">
        <v>0</v>
      </c>
      <c r="K341" s="448"/>
      <c r="L341" s="447"/>
      <c r="M341" s="447"/>
      <c r="N341" s="447"/>
      <c r="O341" s="447"/>
      <c r="P341" s="447"/>
    </row>
    <row r="342" spans="1:16" ht="15">
      <c r="A342" s="925">
        <v>337</v>
      </c>
      <c r="B342" s="929" t="s">
        <v>1071</v>
      </c>
      <c r="C342" s="927" t="s">
        <v>764</v>
      </c>
      <c r="D342" s="447">
        <v>1988</v>
      </c>
      <c r="E342" s="447">
        <v>10</v>
      </c>
      <c r="F342" s="928" t="s">
        <v>1782</v>
      </c>
      <c r="G342" s="447">
        <v>0</v>
      </c>
      <c r="H342" s="447"/>
      <c r="I342" s="447"/>
      <c r="J342" s="447">
        <v>0</v>
      </c>
      <c r="K342" s="448"/>
      <c r="L342" s="447"/>
      <c r="M342" s="447"/>
      <c r="N342" s="447"/>
      <c r="O342" s="447"/>
      <c r="P342" s="447"/>
    </row>
    <row r="343" spans="1:16" ht="15">
      <c r="A343" s="925">
        <v>338</v>
      </c>
      <c r="B343" s="929" t="s">
        <v>1072</v>
      </c>
      <c r="C343" s="927" t="s">
        <v>691</v>
      </c>
      <c r="D343" s="447">
        <v>1990</v>
      </c>
      <c r="E343" s="447">
        <v>10</v>
      </c>
      <c r="F343" s="928" t="s">
        <v>1782</v>
      </c>
      <c r="G343" s="447">
        <v>25</v>
      </c>
      <c r="H343" s="447">
        <v>2.1</v>
      </c>
      <c r="I343" s="447">
        <v>25.2</v>
      </c>
      <c r="J343" s="447">
        <v>0</v>
      </c>
      <c r="K343" s="448"/>
      <c r="L343" s="447"/>
      <c r="M343" s="447"/>
      <c r="N343" s="447"/>
      <c r="O343" s="447"/>
      <c r="P343" s="447"/>
    </row>
    <row r="344" spans="1:16" ht="15">
      <c r="A344" s="925">
        <v>339</v>
      </c>
      <c r="B344" s="929" t="s">
        <v>1073</v>
      </c>
      <c r="C344" s="927" t="s">
        <v>691</v>
      </c>
      <c r="D344" s="447">
        <v>1990</v>
      </c>
      <c r="E344" s="447">
        <v>10</v>
      </c>
      <c r="F344" s="928" t="s">
        <v>1782</v>
      </c>
      <c r="G344" s="447">
        <v>27</v>
      </c>
      <c r="H344" s="447"/>
      <c r="I344" s="447"/>
      <c r="J344" s="447">
        <v>0</v>
      </c>
      <c r="K344" s="448"/>
      <c r="L344" s="447"/>
      <c r="M344" s="447"/>
      <c r="N344" s="447"/>
      <c r="O344" s="447"/>
      <c r="P344" s="447"/>
    </row>
    <row r="345" spans="1:16" ht="15">
      <c r="A345" s="925">
        <v>340</v>
      </c>
      <c r="B345" s="929" t="s">
        <v>1074</v>
      </c>
      <c r="C345" s="927" t="s">
        <v>827</v>
      </c>
      <c r="D345" s="447">
        <v>1992</v>
      </c>
      <c r="E345" s="447">
        <v>10</v>
      </c>
      <c r="F345" s="928" t="s">
        <v>1782</v>
      </c>
      <c r="G345" s="447">
        <v>4.8</v>
      </c>
      <c r="H345" s="447"/>
      <c r="I345" s="447"/>
      <c r="J345" s="447">
        <v>0</v>
      </c>
      <c r="K345" s="448"/>
      <c r="L345" s="447"/>
      <c r="M345" s="447"/>
      <c r="N345" s="447"/>
      <c r="O345" s="447"/>
      <c r="P345" s="447"/>
    </row>
    <row r="346" spans="1:16" ht="15">
      <c r="A346" s="925">
        <v>341</v>
      </c>
      <c r="B346" s="929" t="s">
        <v>1075</v>
      </c>
      <c r="C346" s="927" t="s">
        <v>1076</v>
      </c>
      <c r="D346" s="447">
        <v>1989</v>
      </c>
      <c r="E346" s="447">
        <v>10</v>
      </c>
      <c r="F346" s="928" t="s">
        <v>1782</v>
      </c>
      <c r="G346" s="447">
        <v>4.8</v>
      </c>
      <c r="H346" s="447"/>
      <c r="I346" s="447"/>
      <c r="J346" s="447">
        <v>0</v>
      </c>
      <c r="K346" s="448"/>
      <c r="L346" s="447"/>
      <c r="M346" s="447"/>
      <c r="N346" s="447"/>
      <c r="O346" s="447"/>
      <c r="P346" s="447"/>
    </row>
    <row r="347" spans="1:16" ht="15">
      <c r="A347" s="925">
        <v>342</v>
      </c>
      <c r="B347" s="929" t="s">
        <v>1077</v>
      </c>
      <c r="C347" s="927" t="s">
        <v>1078</v>
      </c>
      <c r="D347" s="447">
        <v>1988</v>
      </c>
      <c r="E347" s="447">
        <v>10</v>
      </c>
      <c r="F347" s="928" t="s">
        <v>1782</v>
      </c>
      <c r="G347" s="447">
        <v>7.8</v>
      </c>
      <c r="H347" s="447"/>
      <c r="I347" s="447"/>
      <c r="J347" s="447">
        <v>0</v>
      </c>
      <c r="K347" s="448"/>
      <c r="L347" s="447"/>
      <c r="M347" s="447"/>
      <c r="N347" s="447"/>
      <c r="O347" s="447"/>
      <c r="P347" s="447"/>
    </row>
    <row r="348" spans="1:16" ht="15">
      <c r="A348" s="925">
        <v>343</v>
      </c>
      <c r="B348" s="929" t="s">
        <v>1079</v>
      </c>
      <c r="C348" s="927" t="s">
        <v>684</v>
      </c>
      <c r="D348" s="447">
        <v>1992</v>
      </c>
      <c r="E348" s="447">
        <v>10</v>
      </c>
      <c r="F348" s="928" t="s">
        <v>1782</v>
      </c>
      <c r="G348" s="447">
        <v>12</v>
      </c>
      <c r="H348" s="447"/>
      <c r="I348" s="447"/>
      <c r="J348" s="447">
        <v>0</v>
      </c>
      <c r="K348" s="448"/>
      <c r="L348" s="447"/>
      <c r="M348" s="447"/>
      <c r="N348" s="447"/>
      <c r="O348" s="447"/>
      <c r="P348" s="447"/>
    </row>
    <row r="349" spans="1:16" ht="15">
      <c r="A349" s="925">
        <v>344</v>
      </c>
      <c r="B349" s="929" t="s">
        <v>1080</v>
      </c>
      <c r="C349" s="927" t="s">
        <v>682</v>
      </c>
      <c r="D349" s="447">
        <v>1991</v>
      </c>
      <c r="E349" s="447">
        <v>10</v>
      </c>
      <c r="F349" s="928" t="s">
        <v>1782</v>
      </c>
      <c r="G349" s="447">
        <v>27</v>
      </c>
      <c r="H349" s="447"/>
      <c r="I349" s="447"/>
      <c r="J349" s="447">
        <v>0</v>
      </c>
      <c r="K349" s="448"/>
      <c r="L349" s="447"/>
      <c r="M349" s="447"/>
      <c r="N349" s="447"/>
      <c r="O349" s="447"/>
      <c r="P349" s="447"/>
    </row>
    <row r="350" spans="1:16" ht="15">
      <c r="A350" s="925">
        <v>345</v>
      </c>
      <c r="B350" s="929" t="s">
        <v>1081</v>
      </c>
      <c r="C350" s="927" t="s">
        <v>684</v>
      </c>
      <c r="D350" s="447">
        <v>2004</v>
      </c>
      <c r="E350" s="447">
        <v>10</v>
      </c>
      <c r="F350" s="928" t="s">
        <v>1782</v>
      </c>
      <c r="G350" s="447">
        <v>17</v>
      </c>
      <c r="H350" s="447"/>
      <c r="I350" s="447"/>
      <c r="J350" s="447">
        <v>0</v>
      </c>
      <c r="K350" s="448"/>
      <c r="L350" s="447"/>
      <c r="M350" s="447"/>
      <c r="N350" s="447"/>
      <c r="O350" s="447"/>
      <c r="P350" s="447"/>
    </row>
    <row r="351" spans="1:16" ht="15">
      <c r="A351" s="925">
        <v>346</v>
      </c>
      <c r="B351" s="929" t="s">
        <v>1082</v>
      </c>
      <c r="C351" s="927" t="s">
        <v>684</v>
      </c>
      <c r="D351" s="447">
        <v>2004</v>
      </c>
      <c r="E351" s="447">
        <v>10</v>
      </c>
      <c r="F351" s="928" t="s">
        <v>1782</v>
      </c>
      <c r="G351" s="447">
        <v>17</v>
      </c>
      <c r="H351" s="447"/>
      <c r="I351" s="447"/>
      <c r="J351" s="447">
        <v>4068.6</v>
      </c>
      <c r="K351" s="448"/>
      <c r="L351" s="447"/>
      <c r="M351" s="447"/>
      <c r="N351" s="447"/>
      <c r="O351" s="447"/>
      <c r="P351" s="447"/>
    </row>
    <row r="352" spans="1:16" ht="15">
      <c r="A352" s="925">
        <v>347</v>
      </c>
      <c r="B352" s="929" t="s">
        <v>1083</v>
      </c>
      <c r="C352" s="927" t="s">
        <v>684</v>
      </c>
      <c r="D352" s="447">
        <v>2008</v>
      </c>
      <c r="E352" s="447">
        <v>10</v>
      </c>
      <c r="F352" s="928" t="s">
        <v>1782</v>
      </c>
      <c r="G352" s="447">
        <v>18.100000000000001</v>
      </c>
      <c r="H352" s="447"/>
      <c r="I352" s="447"/>
      <c r="J352" s="447">
        <v>59861.62</v>
      </c>
      <c r="K352" s="448"/>
      <c r="L352" s="447"/>
      <c r="M352" s="447"/>
      <c r="N352" s="447"/>
      <c r="O352" s="447"/>
      <c r="P352" s="447"/>
    </row>
    <row r="353" spans="1:16" ht="15">
      <c r="A353" s="925">
        <v>348</v>
      </c>
      <c r="B353" s="929" t="s">
        <v>1084</v>
      </c>
      <c r="C353" s="927" t="s">
        <v>684</v>
      </c>
      <c r="D353" s="447">
        <v>2008</v>
      </c>
      <c r="E353" s="447">
        <v>10</v>
      </c>
      <c r="F353" s="928" t="s">
        <v>1782</v>
      </c>
      <c r="G353" s="447">
        <v>17</v>
      </c>
      <c r="H353" s="447"/>
      <c r="I353" s="447"/>
      <c r="J353" s="447">
        <v>56078.12</v>
      </c>
      <c r="K353" s="448"/>
      <c r="L353" s="447"/>
      <c r="M353" s="447"/>
      <c r="N353" s="447"/>
      <c r="O353" s="447"/>
      <c r="P353" s="447"/>
    </row>
    <row r="354" spans="1:16" ht="15">
      <c r="A354" s="925">
        <v>349</v>
      </c>
      <c r="B354" s="929" t="s">
        <v>1085</v>
      </c>
      <c r="C354" s="927" t="s">
        <v>680</v>
      </c>
      <c r="D354" s="447">
        <v>2010</v>
      </c>
      <c r="E354" s="447">
        <v>8</v>
      </c>
      <c r="F354" s="928" t="s">
        <v>1782</v>
      </c>
      <c r="G354" s="447">
        <v>11.5</v>
      </c>
      <c r="H354" s="447"/>
      <c r="I354" s="447"/>
      <c r="J354" s="447">
        <v>67778.399999999994</v>
      </c>
      <c r="K354" s="448"/>
      <c r="L354" s="447"/>
      <c r="M354" s="447"/>
      <c r="N354" s="447"/>
      <c r="O354" s="447"/>
      <c r="P354" s="447"/>
    </row>
    <row r="355" spans="1:16" ht="15">
      <c r="A355" s="925">
        <v>350</v>
      </c>
      <c r="B355" s="929" t="s">
        <v>1086</v>
      </c>
      <c r="C355" s="927" t="s">
        <v>677</v>
      </c>
      <c r="D355" s="447">
        <v>2000</v>
      </c>
      <c r="E355" s="447">
        <v>10</v>
      </c>
      <c r="F355" s="928" t="s">
        <v>1783</v>
      </c>
      <c r="G355" s="447">
        <v>16.5</v>
      </c>
      <c r="H355" s="447"/>
      <c r="I355" s="447"/>
      <c r="J355" s="447">
        <v>0</v>
      </c>
      <c r="K355" s="448"/>
      <c r="L355" s="447"/>
      <c r="M355" s="447"/>
      <c r="N355" s="447"/>
      <c r="O355" s="447"/>
      <c r="P355" s="447"/>
    </row>
    <row r="356" spans="1:16" ht="15">
      <c r="A356" s="925">
        <v>351</v>
      </c>
      <c r="B356" s="929" t="s">
        <v>1087</v>
      </c>
      <c r="C356" s="927" t="s">
        <v>827</v>
      </c>
      <c r="D356" s="447">
        <v>2000</v>
      </c>
      <c r="E356" s="447">
        <v>10</v>
      </c>
      <c r="F356" s="928" t="s">
        <v>1783</v>
      </c>
      <c r="G356" s="447">
        <v>7.8</v>
      </c>
      <c r="H356" s="447"/>
      <c r="I356" s="447"/>
      <c r="J356" s="447">
        <v>10455.77</v>
      </c>
      <c r="K356" s="448"/>
      <c r="L356" s="447"/>
      <c r="M356" s="447"/>
      <c r="N356" s="447"/>
      <c r="O356" s="447"/>
      <c r="P356" s="447"/>
    </row>
    <row r="357" spans="1:16" ht="15">
      <c r="A357" s="925">
        <v>352</v>
      </c>
      <c r="B357" s="929" t="s">
        <v>1088</v>
      </c>
      <c r="C357" s="927" t="s">
        <v>684</v>
      </c>
      <c r="D357" s="447">
        <v>2005</v>
      </c>
      <c r="E357" s="447">
        <v>10</v>
      </c>
      <c r="F357" s="928" t="s">
        <v>1783</v>
      </c>
      <c r="G357" s="447">
        <v>17</v>
      </c>
      <c r="H357" s="447"/>
      <c r="I357" s="447"/>
      <c r="J357" s="447">
        <v>4756.24</v>
      </c>
      <c r="K357" s="448"/>
      <c r="L357" s="447"/>
      <c r="M357" s="447"/>
      <c r="N357" s="447"/>
      <c r="O357" s="447"/>
      <c r="P357" s="447"/>
    </row>
    <row r="358" spans="1:16" ht="15">
      <c r="A358" s="925">
        <v>353</v>
      </c>
      <c r="B358" s="929" t="s">
        <v>1089</v>
      </c>
      <c r="C358" s="927" t="s">
        <v>885</v>
      </c>
      <c r="D358" s="447">
        <v>1989</v>
      </c>
      <c r="E358" s="447">
        <v>10</v>
      </c>
      <c r="F358" s="928" t="s">
        <v>1783</v>
      </c>
      <c r="G358" s="447">
        <v>46</v>
      </c>
      <c r="H358" s="447"/>
      <c r="I358" s="447"/>
      <c r="J358" s="447">
        <v>53180.94</v>
      </c>
      <c r="K358" s="448"/>
      <c r="L358" s="447"/>
      <c r="M358" s="447"/>
      <c r="N358" s="447"/>
      <c r="O358" s="447"/>
      <c r="P358" s="447"/>
    </row>
    <row r="359" spans="1:16" ht="15">
      <c r="A359" s="925">
        <v>354</v>
      </c>
      <c r="B359" s="929" t="s">
        <v>1090</v>
      </c>
      <c r="C359" s="927" t="s">
        <v>677</v>
      </c>
      <c r="D359" s="447">
        <v>2005</v>
      </c>
      <c r="E359" s="447">
        <v>8</v>
      </c>
      <c r="F359" s="928" t="s">
        <v>1783</v>
      </c>
      <c r="G359" s="447">
        <v>11.5</v>
      </c>
      <c r="H359" s="447"/>
      <c r="I359" s="447"/>
      <c r="J359" s="447">
        <v>24678.04</v>
      </c>
      <c r="K359" s="448"/>
      <c r="L359" s="447"/>
      <c r="M359" s="447"/>
      <c r="N359" s="447"/>
      <c r="O359" s="447"/>
      <c r="P359" s="447"/>
    </row>
    <row r="360" spans="1:16" ht="15">
      <c r="A360" s="925">
        <v>355</v>
      </c>
      <c r="B360" s="925" t="s">
        <v>1091</v>
      </c>
      <c r="C360" s="927" t="s">
        <v>1015</v>
      </c>
      <c r="D360" s="447">
        <v>2012</v>
      </c>
      <c r="E360" s="447">
        <v>0</v>
      </c>
      <c r="F360" s="928" t="s">
        <v>1783</v>
      </c>
      <c r="G360" s="447">
        <v>11.5</v>
      </c>
      <c r="H360" s="447"/>
      <c r="I360" s="447"/>
      <c r="J360" s="447">
        <v>75976.05</v>
      </c>
      <c r="K360" s="448"/>
      <c r="L360" s="447"/>
      <c r="M360" s="447"/>
      <c r="N360" s="447"/>
      <c r="O360" s="447"/>
      <c r="P360" s="447"/>
    </row>
    <row r="361" spans="1:16" ht="15">
      <c r="A361" s="925">
        <v>356</v>
      </c>
      <c r="B361" s="929" t="s">
        <v>1092</v>
      </c>
      <c r="C361" s="927" t="s">
        <v>684</v>
      </c>
      <c r="D361" s="447">
        <v>1996</v>
      </c>
      <c r="E361" s="447">
        <v>10</v>
      </c>
      <c r="F361" s="928" t="s">
        <v>1783</v>
      </c>
      <c r="G361" s="447">
        <v>17</v>
      </c>
      <c r="H361" s="447">
        <v>1.8</v>
      </c>
      <c r="I361" s="447">
        <v>21.6</v>
      </c>
      <c r="J361" s="447">
        <v>0</v>
      </c>
      <c r="K361" s="448"/>
      <c r="L361" s="332"/>
      <c r="M361" s="447"/>
      <c r="N361" s="447"/>
      <c r="O361" s="447"/>
      <c r="P361" s="447"/>
    </row>
    <row r="362" spans="1:16" ht="15">
      <c r="A362" s="925">
        <v>357</v>
      </c>
      <c r="B362" s="929" t="s">
        <v>1093</v>
      </c>
      <c r="C362" s="927" t="s">
        <v>816</v>
      </c>
      <c r="D362" s="447">
        <v>2003</v>
      </c>
      <c r="E362" s="447">
        <v>10</v>
      </c>
      <c r="F362" s="928" t="s">
        <v>1783</v>
      </c>
      <c r="G362" s="447">
        <v>24.4</v>
      </c>
      <c r="H362" s="447"/>
      <c r="I362" s="447"/>
      <c r="J362" s="447">
        <v>0</v>
      </c>
      <c r="K362" s="448"/>
      <c r="L362" s="447"/>
      <c r="M362" s="447"/>
      <c r="N362" s="447"/>
      <c r="O362" s="447"/>
      <c r="P362" s="447"/>
    </row>
    <row r="363" spans="1:16" ht="15">
      <c r="A363" s="925">
        <v>358</v>
      </c>
      <c r="B363" s="929" t="s">
        <v>1094</v>
      </c>
      <c r="C363" s="927" t="s">
        <v>735</v>
      </c>
      <c r="D363" s="447">
        <v>1990</v>
      </c>
      <c r="E363" s="447">
        <v>10</v>
      </c>
      <c r="F363" s="928" t="s">
        <v>1783</v>
      </c>
      <c r="G363" s="447">
        <v>25</v>
      </c>
      <c r="H363" s="447"/>
      <c r="I363" s="447"/>
      <c r="J363" s="447">
        <v>0</v>
      </c>
      <c r="K363" s="448"/>
      <c r="L363" s="447"/>
      <c r="M363" s="447"/>
      <c r="N363" s="447"/>
      <c r="O363" s="447"/>
      <c r="P363" s="447"/>
    </row>
    <row r="364" spans="1:16" ht="15">
      <c r="A364" s="925">
        <v>359</v>
      </c>
      <c r="B364" s="929" t="s">
        <v>1095</v>
      </c>
      <c r="C364" s="927" t="s">
        <v>919</v>
      </c>
      <c r="D364" s="447">
        <v>1991</v>
      </c>
      <c r="E364" s="447">
        <v>10</v>
      </c>
      <c r="F364" s="928" t="s">
        <v>1783</v>
      </c>
      <c r="G364" s="447">
        <v>15.6</v>
      </c>
      <c r="H364" s="447"/>
      <c r="I364" s="447"/>
      <c r="J364" s="447">
        <v>0</v>
      </c>
      <c r="K364" s="448"/>
      <c r="L364" s="447"/>
      <c r="M364" s="447"/>
      <c r="N364" s="447"/>
      <c r="O364" s="447"/>
      <c r="P364" s="447"/>
    </row>
    <row r="365" spans="1:16" ht="15">
      <c r="A365" s="925">
        <v>360</v>
      </c>
      <c r="B365" s="929" t="s">
        <v>1096</v>
      </c>
      <c r="C365" s="927" t="s">
        <v>735</v>
      </c>
      <c r="D365" s="447">
        <v>1992</v>
      </c>
      <c r="E365" s="447">
        <v>10</v>
      </c>
      <c r="F365" s="928" t="s">
        <v>1783</v>
      </c>
      <c r="G365" s="447">
        <v>27</v>
      </c>
      <c r="H365" s="447"/>
      <c r="I365" s="447"/>
      <c r="J365" s="447">
        <v>0</v>
      </c>
      <c r="K365" s="448"/>
      <c r="L365" s="447"/>
      <c r="M365" s="447"/>
      <c r="N365" s="447"/>
      <c r="O365" s="447"/>
      <c r="P365" s="447"/>
    </row>
    <row r="366" spans="1:16" ht="15">
      <c r="A366" s="925">
        <v>361</v>
      </c>
      <c r="B366" s="929" t="s">
        <v>1097</v>
      </c>
      <c r="C366" s="927" t="s">
        <v>735</v>
      </c>
      <c r="D366" s="447">
        <v>1994</v>
      </c>
      <c r="E366" s="447">
        <v>10</v>
      </c>
      <c r="F366" s="928" t="s">
        <v>1783</v>
      </c>
      <c r="G366" s="447">
        <v>24.5</v>
      </c>
      <c r="H366" s="447"/>
      <c r="I366" s="447"/>
      <c r="J366" s="447">
        <v>0</v>
      </c>
      <c r="K366" s="448"/>
      <c r="L366" s="447"/>
      <c r="M366" s="447"/>
      <c r="N366" s="447"/>
      <c r="O366" s="447"/>
      <c r="P366" s="447"/>
    </row>
    <row r="367" spans="1:16" ht="15">
      <c r="A367" s="925">
        <v>362</v>
      </c>
      <c r="B367" s="929" t="s">
        <v>1098</v>
      </c>
      <c r="C367" s="927" t="s">
        <v>735</v>
      </c>
      <c r="D367" s="447">
        <v>1992</v>
      </c>
      <c r="E367" s="447">
        <v>10</v>
      </c>
      <c r="F367" s="928" t="s">
        <v>1783</v>
      </c>
      <c r="G367" s="447">
        <v>24.5</v>
      </c>
      <c r="H367" s="447"/>
      <c r="I367" s="447"/>
      <c r="J367" s="447">
        <v>0</v>
      </c>
      <c r="K367" s="448"/>
      <c r="L367" s="447"/>
      <c r="M367" s="447"/>
      <c r="N367" s="447"/>
      <c r="O367" s="447"/>
      <c r="P367" s="447"/>
    </row>
    <row r="368" spans="1:16" ht="15">
      <c r="A368" s="925">
        <v>363</v>
      </c>
      <c r="B368" s="929" t="s">
        <v>1099</v>
      </c>
      <c r="C368" s="927" t="s">
        <v>735</v>
      </c>
      <c r="D368" s="447">
        <v>1996</v>
      </c>
      <c r="E368" s="447">
        <v>10</v>
      </c>
      <c r="F368" s="928" t="s">
        <v>1783</v>
      </c>
      <c r="G368" s="447">
        <v>0</v>
      </c>
      <c r="H368" s="447"/>
      <c r="I368" s="447"/>
      <c r="J368" s="447">
        <v>0</v>
      </c>
      <c r="K368" s="448"/>
      <c r="L368" s="447"/>
      <c r="M368" s="447"/>
      <c r="N368" s="447"/>
      <c r="O368" s="447"/>
      <c r="P368" s="447"/>
    </row>
    <row r="369" spans="1:16" ht="15">
      <c r="A369" s="925">
        <v>364</v>
      </c>
      <c r="B369" s="929" t="s">
        <v>1100</v>
      </c>
      <c r="C369" s="927" t="s">
        <v>735</v>
      </c>
      <c r="D369" s="447">
        <v>1991</v>
      </c>
      <c r="E369" s="447">
        <v>10</v>
      </c>
      <c r="F369" s="928" t="s">
        <v>1783</v>
      </c>
      <c r="G369" s="447">
        <v>0</v>
      </c>
      <c r="H369" s="447"/>
      <c r="I369" s="447"/>
      <c r="J369" s="447">
        <v>0</v>
      </c>
      <c r="K369" s="448"/>
      <c r="L369" s="447"/>
      <c r="M369" s="447"/>
      <c r="N369" s="447"/>
      <c r="O369" s="447"/>
      <c r="P369" s="447"/>
    </row>
    <row r="370" spans="1:16" ht="15">
      <c r="A370" s="925">
        <v>365</v>
      </c>
      <c r="B370" s="929" t="s">
        <v>1101</v>
      </c>
      <c r="C370" s="927" t="s">
        <v>684</v>
      </c>
      <c r="D370" s="447">
        <v>2008</v>
      </c>
      <c r="E370" s="447">
        <v>10</v>
      </c>
      <c r="F370" s="928" t="s">
        <v>1783</v>
      </c>
      <c r="G370" s="447">
        <v>17</v>
      </c>
      <c r="H370" s="447"/>
      <c r="I370" s="447"/>
      <c r="J370" s="447">
        <v>53885.61</v>
      </c>
      <c r="K370" s="448"/>
      <c r="L370" s="447"/>
      <c r="M370" s="447"/>
      <c r="N370" s="447"/>
      <c r="O370" s="447"/>
      <c r="P370" s="447"/>
    </row>
    <row r="371" spans="1:16" ht="15">
      <c r="A371" s="925">
        <v>366</v>
      </c>
      <c r="B371" s="929" t="s">
        <v>1102</v>
      </c>
      <c r="C371" s="927" t="s">
        <v>779</v>
      </c>
      <c r="D371" s="447">
        <v>2009</v>
      </c>
      <c r="E371" s="447">
        <v>10</v>
      </c>
      <c r="F371" s="928" t="s">
        <v>1783</v>
      </c>
      <c r="G371" s="447">
        <v>17</v>
      </c>
      <c r="H371" s="447"/>
      <c r="I371" s="447"/>
      <c r="J371" s="447">
        <v>69368.350000000006</v>
      </c>
      <c r="K371" s="448"/>
      <c r="L371" s="447"/>
      <c r="M371" s="447"/>
      <c r="N371" s="447"/>
      <c r="O371" s="447"/>
      <c r="P371" s="447"/>
    </row>
    <row r="372" spans="1:16" ht="15">
      <c r="A372" s="925">
        <v>367</v>
      </c>
      <c r="B372" s="934" t="s">
        <v>954</v>
      </c>
      <c r="C372" s="927" t="s">
        <v>677</v>
      </c>
      <c r="D372" s="447">
        <v>2011</v>
      </c>
      <c r="E372" s="447">
        <v>10</v>
      </c>
      <c r="F372" s="928" t="s">
        <v>1783</v>
      </c>
      <c r="G372" s="447">
        <v>11.5</v>
      </c>
      <c r="H372" s="447"/>
      <c r="I372" s="447"/>
      <c r="J372" s="447">
        <v>71625</v>
      </c>
      <c r="K372" s="448"/>
      <c r="L372" s="447"/>
      <c r="M372" s="447"/>
      <c r="N372" s="447"/>
      <c r="O372" s="447"/>
      <c r="P372" s="447"/>
    </row>
    <row r="373" spans="1:16" ht="15">
      <c r="A373" s="925">
        <v>368</v>
      </c>
      <c r="B373" s="934" t="s">
        <v>1103</v>
      </c>
      <c r="C373" s="927" t="s">
        <v>1104</v>
      </c>
      <c r="D373" s="447">
        <v>2011</v>
      </c>
      <c r="E373" s="447">
        <v>10</v>
      </c>
      <c r="F373" s="928" t="s">
        <v>1783</v>
      </c>
      <c r="G373" s="447">
        <v>15.6</v>
      </c>
      <c r="H373" s="447"/>
      <c r="I373" s="447"/>
      <c r="J373" s="447">
        <v>466589.66</v>
      </c>
      <c r="K373" s="448"/>
      <c r="L373" s="447"/>
      <c r="M373" s="447"/>
      <c r="N373" s="447"/>
      <c r="O373" s="447"/>
      <c r="P373" s="447"/>
    </row>
    <row r="374" spans="1:16" ht="15">
      <c r="A374" s="925">
        <v>369</v>
      </c>
      <c r="B374" s="929" t="s">
        <v>1105</v>
      </c>
      <c r="C374" s="927" t="s">
        <v>684</v>
      </c>
      <c r="D374" s="447">
        <v>1996</v>
      </c>
      <c r="E374" s="447">
        <v>10</v>
      </c>
      <c r="F374" s="928" t="s">
        <v>1784</v>
      </c>
      <c r="G374" s="447">
        <v>17</v>
      </c>
      <c r="H374" s="447"/>
      <c r="I374" s="447"/>
      <c r="J374" s="447">
        <v>0</v>
      </c>
      <c r="K374" s="448"/>
      <c r="L374" s="447"/>
      <c r="M374" s="447"/>
      <c r="N374" s="447"/>
      <c r="O374" s="447"/>
      <c r="P374" s="447"/>
    </row>
    <row r="375" spans="1:16" ht="15">
      <c r="A375" s="925">
        <v>370</v>
      </c>
      <c r="B375" s="929" t="s">
        <v>1106</v>
      </c>
      <c r="C375" s="927" t="s">
        <v>735</v>
      </c>
      <c r="D375" s="447">
        <v>1992</v>
      </c>
      <c r="E375" s="447">
        <v>10</v>
      </c>
      <c r="F375" s="928" t="s">
        <v>1784</v>
      </c>
      <c r="G375" s="447">
        <v>24.5</v>
      </c>
      <c r="H375" s="447"/>
      <c r="I375" s="447"/>
      <c r="J375" s="447">
        <v>0</v>
      </c>
      <c r="K375" s="448"/>
      <c r="L375" s="447"/>
      <c r="M375" s="447"/>
      <c r="N375" s="447"/>
      <c r="O375" s="447"/>
      <c r="P375" s="447"/>
    </row>
    <row r="376" spans="1:16" ht="15">
      <c r="A376" s="925">
        <v>371</v>
      </c>
      <c r="B376" s="929" t="s">
        <v>1107</v>
      </c>
      <c r="C376" s="927" t="s">
        <v>827</v>
      </c>
      <c r="D376" s="447">
        <v>1993</v>
      </c>
      <c r="E376" s="447">
        <v>10</v>
      </c>
      <c r="F376" s="928" t="s">
        <v>1784</v>
      </c>
      <c r="G376" s="447">
        <v>7.8</v>
      </c>
      <c r="H376" s="447"/>
      <c r="I376" s="447"/>
      <c r="J376" s="447">
        <v>0</v>
      </c>
      <c r="K376" s="448"/>
      <c r="L376" s="447"/>
      <c r="M376" s="447"/>
      <c r="N376" s="447"/>
      <c r="O376" s="447"/>
      <c r="P376" s="447"/>
    </row>
    <row r="377" spans="1:16" ht="15">
      <c r="A377" s="925">
        <v>372</v>
      </c>
      <c r="B377" s="929" t="s">
        <v>1108</v>
      </c>
      <c r="C377" s="927" t="s">
        <v>1109</v>
      </c>
      <c r="D377" s="447">
        <v>1988</v>
      </c>
      <c r="E377" s="447">
        <v>10</v>
      </c>
      <c r="F377" s="928" t="s">
        <v>1784</v>
      </c>
      <c r="G377" s="447">
        <v>26</v>
      </c>
      <c r="H377" s="447"/>
      <c r="I377" s="447"/>
      <c r="J377" s="447">
        <v>0</v>
      </c>
      <c r="K377" s="448"/>
      <c r="L377" s="447"/>
      <c r="M377" s="447"/>
      <c r="N377" s="447"/>
      <c r="O377" s="447"/>
      <c r="P377" s="455"/>
    </row>
    <row r="378" spans="1:16" ht="15">
      <c r="A378" s="925">
        <v>373</v>
      </c>
      <c r="B378" s="929" t="s">
        <v>1110</v>
      </c>
      <c r="C378" s="927" t="s">
        <v>764</v>
      </c>
      <c r="D378" s="447">
        <v>1986</v>
      </c>
      <c r="E378" s="447">
        <v>10</v>
      </c>
      <c r="F378" s="928" t="s">
        <v>1784</v>
      </c>
      <c r="G378" s="447">
        <v>0</v>
      </c>
      <c r="H378" s="447"/>
      <c r="I378" s="447"/>
      <c r="J378" s="447">
        <v>0</v>
      </c>
      <c r="K378" s="448"/>
      <c r="L378" s="447"/>
      <c r="M378" s="447"/>
      <c r="N378" s="447"/>
      <c r="O378" s="447"/>
      <c r="P378" s="447"/>
    </row>
    <row r="379" spans="1:16" ht="15">
      <c r="A379" s="925">
        <v>374</v>
      </c>
      <c r="B379" s="929" t="s">
        <v>1111</v>
      </c>
      <c r="C379" s="927" t="s">
        <v>827</v>
      </c>
      <c r="D379" s="447">
        <v>1967</v>
      </c>
      <c r="E379" s="447">
        <v>10</v>
      </c>
      <c r="F379" s="928" t="s">
        <v>1784</v>
      </c>
      <c r="G379" s="447">
        <v>4</v>
      </c>
      <c r="H379" s="447"/>
      <c r="I379" s="447"/>
      <c r="J379" s="447">
        <v>0</v>
      </c>
      <c r="K379" s="448"/>
      <c r="L379" s="447"/>
      <c r="M379" s="447"/>
      <c r="N379" s="447"/>
      <c r="O379" s="447"/>
      <c r="P379" s="447"/>
    </row>
    <row r="380" spans="1:16" ht="15">
      <c r="A380" s="925">
        <v>375</v>
      </c>
      <c r="B380" s="929" t="s">
        <v>1112</v>
      </c>
      <c r="C380" s="927" t="s">
        <v>684</v>
      </c>
      <c r="D380" s="447">
        <v>2000</v>
      </c>
      <c r="E380" s="447">
        <v>10</v>
      </c>
      <c r="F380" s="928" t="s">
        <v>1784</v>
      </c>
      <c r="G380" s="447">
        <v>17</v>
      </c>
      <c r="H380" s="447"/>
      <c r="I380" s="447"/>
      <c r="J380" s="447">
        <v>0</v>
      </c>
      <c r="K380" s="448"/>
      <c r="L380" s="447"/>
      <c r="M380" s="447"/>
      <c r="N380" s="447"/>
      <c r="O380" s="447"/>
      <c r="P380" s="447"/>
    </row>
    <row r="381" spans="1:16" ht="15">
      <c r="A381" s="925">
        <v>376</v>
      </c>
      <c r="B381" s="929" t="s">
        <v>1113</v>
      </c>
      <c r="C381" s="927" t="s">
        <v>696</v>
      </c>
      <c r="D381" s="447">
        <v>2000</v>
      </c>
      <c r="E381" s="447">
        <v>10</v>
      </c>
      <c r="F381" s="928" t="s">
        <v>1784</v>
      </c>
      <c r="G381" s="447">
        <v>17.899999999999999</v>
      </c>
      <c r="H381" s="447"/>
      <c r="I381" s="447"/>
      <c r="J381" s="447">
        <v>0</v>
      </c>
      <c r="K381" s="448"/>
      <c r="L381" s="447"/>
      <c r="M381" s="447"/>
      <c r="N381" s="447"/>
      <c r="O381" s="447"/>
      <c r="P381" s="447"/>
    </row>
    <row r="382" spans="1:16" ht="15">
      <c r="A382" s="925">
        <v>377</v>
      </c>
      <c r="B382" s="929" t="s">
        <v>1114</v>
      </c>
      <c r="C382" s="927" t="s">
        <v>677</v>
      </c>
      <c r="D382" s="447">
        <v>1982</v>
      </c>
      <c r="E382" s="447">
        <v>8</v>
      </c>
      <c r="F382" s="928" t="s">
        <v>1784</v>
      </c>
      <c r="G382" s="447">
        <v>16</v>
      </c>
      <c r="H382" s="447"/>
      <c r="I382" s="447"/>
      <c r="J382" s="447">
        <v>0</v>
      </c>
      <c r="K382" s="448"/>
      <c r="L382" s="447"/>
      <c r="M382" s="447"/>
      <c r="N382" s="447"/>
      <c r="O382" s="447"/>
      <c r="P382" s="447"/>
    </row>
    <row r="383" spans="1:16" ht="15">
      <c r="A383" s="925">
        <v>378</v>
      </c>
      <c r="B383" s="929" t="s">
        <v>1115</v>
      </c>
      <c r="C383" s="927" t="s">
        <v>919</v>
      </c>
      <c r="D383" s="447">
        <v>1990</v>
      </c>
      <c r="E383" s="447">
        <v>10</v>
      </c>
      <c r="F383" s="928" t="s">
        <v>1784</v>
      </c>
      <c r="G383" s="447">
        <v>15.6</v>
      </c>
      <c r="H383" s="447">
        <v>6.7</v>
      </c>
      <c r="I383" s="447">
        <v>80.400000000000006</v>
      </c>
      <c r="J383" s="447">
        <v>0</v>
      </c>
      <c r="K383" s="448"/>
      <c r="L383" s="447"/>
      <c r="M383" s="447"/>
      <c r="N383" s="447"/>
      <c r="O383" s="447"/>
      <c r="P383" s="447"/>
    </row>
    <row r="384" spans="1:16" ht="15">
      <c r="A384" s="925">
        <v>379</v>
      </c>
      <c r="B384" s="929" t="s">
        <v>1116</v>
      </c>
      <c r="C384" s="927" t="s">
        <v>1117</v>
      </c>
      <c r="D384" s="447">
        <v>2012</v>
      </c>
      <c r="E384" s="447">
        <v>0</v>
      </c>
      <c r="F384" s="928" t="s">
        <v>1784</v>
      </c>
      <c r="G384" s="447">
        <v>11.5</v>
      </c>
      <c r="H384" s="447"/>
      <c r="I384" s="447"/>
      <c r="J384" s="447">
        <v>75976.05</v>
      </c>
      <c r="K384" s="448"/>
      <c r="L384" s="447"/>
      <c r="M384" s="447"/>
      <c r="N384" s="447"/>
      <c r="O384" s="447"/>
      <c r="P384" s="447"/>
    </row>
    <row r="385" spans="1:16" ht="15">
      <c r="A385" s="925">
        <v>380</v>
      </c>
      <c r="B385" s="929" t="s">
        <v>1118</v>
      </c>
      <c r="C385" s="927" t="s">
        <v>684</v>
      </c>
      <c r="D385" s="447">
        <v>2004</v>
      </c>
      <c r="E385" s="447">
        <v>10</v>
      </c>
      <c r="F385" s="928" t="s">
        <v>1784</v>
      </c>
      <c r="G385" s="447">
        <v>17</v>
      </c>
      <c r="H385" s="447">
        <v>1.8</v>
      </c>
      <c r="I385" s="447">
        <v>21.6</v>
      </c>
      <c r="J385" s="447">
        <v>0</v>
      </c>
      <c r="K385" s="448"/>
      <c r="L385" s="332"/>
      <c r="M385" s="447"/>
      <c r="N385" s="447"/>
      <c r="O385" s="447"/>
      <c r="P385" s="447"/>
    </row>
    <row r="386" spans="1:16" ht="15">
      <c r="A386" s="925">
        <v>381</v>
      </c>
      <c r="B386" s="929" t="s">
        <v>1119</v>
      </c>
      <c r="C386" s="927" t="s">
        <v>684</v>
      </c>
      <c r="D386" s="447">
        <v>2004</v>
      </c>
      <c r="E386" s="447">
        <v>10</v>
      </c>
      <c r="F386" s="928" t="s">
        <v>1784</v>
      </c>
      <c r="G386" s="447">
        <v>17</v>
      </c>
      <c r="H386" s="447"/>
      <c r="I386" s="447"/>
      <c r="J386" s="447">
        <v>4500.5600000000004</v>
      </c>
      <c r="K386" s="448"/>
      <c r="L386" s="447"/>
      <c r="M386" s="447"/>
      <c r="N386" s="447"/>
      <c r="O386" s="447"/>
      <c r="P386" s="447"/>
    </row>
    <row r="387" spans="1:16" ht="15">
      <c r="A387" s="925">
        <v>382</v>
      </c>
      <c r="B387" s="929" t="s">
        <v>1120</v>
      </c>
      <c r="C387" s="927" t="s">
        <v>938</v>
      </c>
      <c r="D387" s="447">
        <v>2006</v>
      </c>
      <c r="E387" s="447">
        <v>10</v>
      </c>
      <c r="F387" s="928" t="s">
        <v>1784</v>
      </c>
      <c r="G387" s="447">
        <v>39</v>
      </c>
      <c r="H387" s="447"/>
      <c r="I387" s="447"/>
      <c r="J387" s="447">
        <v>64344.77</v>
      </c>
      <c r="K387" s="448"/>
      <c r="L387" s="447"/>
      <c r="M387" s="447"/>
      <c r="N387" s="447"/>
      <c r="O387" s="447"/>
      <c r="P387" s="447"/>
    </row>
    <row r="388" spans="1:16" ht="15">
      <c r="A388" s="925">
        <v>383</v>
      </c>
      <c r="B388" s="929" t="s">
        <v>1121</v>
      </c>
      <c r="C388" s="927" t="s">
        <v>677</v>
      </c>
      <c r="D388" s="447">
        <v>2000</v>
      </c>
      <c r="E388" s="447">
        <v>8</v>
      </c>
      <c r="F388" s="928" t="s">
        <v>1784</v>
      </c>
      <c r="G388" s="447">
        <v>11.5</v>
      </c>
      <c r="H388" s="447"/>
      <c r="I388" s="447"/>
      <c r="J388" s="447">
        <v>0</v>
      </c>
      <c r="K388" s="448"/>
      <c r="L388" s="447"/>
      <c r="M388" s="447"/>
      <c r="N388" s="447"/>
      <c r="O388" s="447"/>
      <c r="P388" s="447"/>
    </row>
    <row r="389" spans="1:16" ht="15">
      <c r="A389" s="925">
        <v>384</v>
      </c>
      <c r="B389" s="929" t="s">
        <v>1122</v>
      </c>
      <c r="C389" s="927" t="s">
        <v>684</v>
      </c>
      <c r="D389" s="447">
        <v>2006</v>
      </c>
      <c r="E389" s="447">
        <v>10</v>
      </c>
      <c r="F389" s="928" t="s">
        <v>1784</v>
      </c>
      <c r="G389" s="447">
        <v>17</v>
      </c>
      <c r="H389" s="447"/>
      <c r="I389" s="447"/>
      <c r="J389" s="447">
        <v>13380.21</v>
      </c>
      <c r="K389" s="448"/>
      <c r="L389" s="447"/>
      <c r="M389" s="447"/>
      <c r="N389" s="447"/>
      <c r="O389" s="447"/>
      <c r="P389" s="447"/>
    </row>
    <row r="390" spans="1:16" ht="15">
      <c r="A390" s="925">
        <v>385</v>
      </c>
      <c r="B390" s="929" t="s">
        <v>1123</v>
      </c>
      <c r="C390" s="927" t="s">
        <v>764</v>
      </c>
      <c r="D390" s="447">
        <v>1986</v>
      </c>
      <c r="E390" s="447">
        <v>10</v>
      </c>
      <c r="F390" s="928" t="s">
        <v>1784</v>
      </c>
      <c r="G390" s="447">
        <v>0</v>
      </c>
      <c r="H390" s="447"/>
      <c r="I390" s="447"/>
      <c r="J390" s="447">
        <v>0</v>
      </c>
      <c r="K390" s="448"/>
      <c r="L390" s="447"/>
      <c r="M390" s="447"/>
      <c r="N390" s="447"/>
      <c r="O390" s="447"/>
      <c r="P390" s="447"/>
    </row>
    <row r="391" spans="1:16" ht="15">
      <c r="A391" s="925">
        <v>386</v>
      </c>
      <c r="B391" s="929" t="s">
        <v>1124</v>
      </c>
      <c r="C391" s="927" t="s">
        <v>777</v>
      </c>
      <c r="D391" s="447">
        <v>2008</v>
      </c>
      <c r="E391" s="447">
        <v>10</v>
      </c>
      <c r="F391" s="928" t="s">
        <v>1784</v>
      </c>
      <c r="G391" s="447">
        <v>17</v>
      </c>
      <c r="H391" s="447"/>
      <c r="I391" s="447"/>
      <c r="J391" s="447">
        <v>35067.58</v>
      </c>
      <c r="K391" s="448"/>
      <c r="L391" s="447"/>
      <c r="M391" s="447"/>
      <c r="N391" s="447"/>
      <c r="O391" s="447"/>
      <c r="P391" s="447"/>
    </row>
    <row r="392" spans="1:16" ht="15">
      <c r="A392" s="925">
        <v>387</v>
      </c>
      <c r="B392" s="929" t="s">
        <v>1125</v>
      </c>
      <c r="C392" s="927" t="s">
        <v>1126</v>
      </c>
      <c r="D392" s="447">
        <v>1990</v>
      </c>
      <c r="E392" s="447">
        <v>10</v>
      </c>
      <c r="F392" s="928" t="s">
        <v>1784</v>
      </c>
      <c r="G392" s="447">
        <v>0</v>
      </c>
      <c r="H392" s="447"/>
      <c r="I392" s="447"/>
      <c r="J392" s="447">
        <v>0</v>
      </c>
      <c r="K392" s="448"/>
      <c r="L392" s="447"/>
      <c r="M392" s="447"/>
      <c r="N392" s="447"/>
      <c r="O392" s="447"/>
      <c r="P392" s="447"/>
    </row>
    <row r="393" spans="1:16" ht="15">
      <c r="A393" s="925">
        <v>388</v>
      </c>
      <c r="B393" s="929" t="s">
        <v>1127</v>
      </c>
      <c r="C393" s="927" t="s">
        <v>933</v>
      </c>
      <c r="D393" s="447">
        <v>2008</v>
      </c>
      <c r="E393" s="447">
        <v>8</v>
      </c>
      <c r="F393" s="928" t="s">
        <v>1784</v>
      </c>
      <c r="G393" s="447">
        <v>11.5</v>
      </c>
      <c r="H393" s="447"/>
      <c r="I393" s="447"/>
      <c r="J393" s="447">
        <v>49104.73</v>
      </c>
      <c r="K393" s="448"/>
      <c r="L393" s="447"/>
      <c r="M393" s="447"/>
      <c r="N393" s="447"/>
      <c r="O393" s="447"/>
      <c r="P393" s="447"/>
    </row>
    <row r="394" spans="1:16" ht="15">
      <c r="A394" s="925">
        <v>389</v>
      </c>
      <c r="B394" s="929" t="s">
        <v>1128</v>
      </c>
      <c r="C394" s="927" t="s">
        <v>779</v>
      </c>
      <c r="D394" s="447">
        <v>2011</v>
      </c>
      <c r="E394" s="447">
        <v>10</v>
      </c>
      <c r="F394" s="928" t="s">
        <v>1784</v>
      </c>
      <c r="G394" s="447">
        <v>17</v>
      </c>
      <c r="H394" s="447"/>
      <c r="I394" s="447"/>
      <c r="J394" s="447">
        <v>0</v>
      </c>
      <c r="K394" s="448"/>
      <c r="L394" s="447"/>
      <c r="M394" s="447"/>
      <c r="N394" s="447"/>
      <c r="O394" s="447"/>
      <c r="P394" s="447"/>
    </row>
    <row r="395" spans="1:16" ht="15">
      <c r="A395" s="925">
        <v>390</v>
      </c>
      <c r="B395" s="929" t="s">
        <v>1129</v>
      </c>
      <c r="C395" s="927" t="s">
        <v>1130</v>
      </c>
      <c r="D395" s="447">
        <v>2000</v>
      </c>
      <c r="E395" s="447">
        <v>10</v>
      </c>
      <c r="F395" s="928" t="s">
        <v>1785</v>
      </c>
      <c r="G395" s="447">
        <v>17.100000000000001</v>
      </c>
      <c r="H395" s="447"/>
      <c r="I395" s="447"/>
      <c r="J395" s="447">
        <v>0</v>
      </c>
      <c r="K395" s="448"/>
      <c r="L395" s="447"/>
      <c r="M395" s="447"/>
      <c r="N395" s="447"/>
      <c r="O395" s="447"/>
      <c r="P395" s="447"/>
    </row>
    <row r="396" spans="1:16" ht="15">
      <c r="A396" s="925">
        <v>391</v>
      </c>
      <c r="B396" s="929" t="s">
        <v>1131</v>
      </c>
      <c r="C396" s="927" t="s">
        <v>844</v>
      </c>
      <c r="D396" s="447">
        <v>1991</v>
      </c>
      <c r="E396" s="447">
        <v>10</v>
      </c>
      <c r="F396" s="928" t="s">
        <v>1785</v>
      </c>
      <c r="G396" s="447">
        <v>35.5</v>
      </c>
      <c r="H396" s="447"/>
      <c r="I396" s="447"/>
      <c r="J396" s="447">
        <v>0</v>
      </c>
      <c r="K396" s="448"/>
      <c r="L396" s="447"/>
      <c r="M396" s="447"/>
      <c r="N396" s="447"/>
      <c r="O396" s="447"/>
      <c r="P396" s="447"/>
    </row>
    <row r="397" spans="1:16" ht="15">
      <c r="A397" s="925">
        <v>392</v>
      </c>
      <c r="B397" s="929" t="s">
        <v>1132</v>
      </c>
      <c r="C397" s="927" t="s">
        <v>684</v>
      </c>
      <c r="D397" s="447">
        <v>2001</v>
      </c>
      <c r="E397" s="447">
        <v>10</v>
      </c>
      <c r="F397" s="928" t="s">
        <v>1785</v>
      </c>
      <c r="G397" s="447">
        <v>17</v>
      </c>
      <c r="H397" s="447"/>
      <c r="I397" s="447"/>
      <c r="J397" s="447">
        <v>0</v>
      </c>
      <c r="K397" s="451"/>
      <c r="L397" s="332"/>
      <c r="M397" s="332"/>
      <c r="N397" s="332"/>
      <c r="O397" s="332"/>
      <c r="P397" s="332"/>
    </row>
    <row r="398" spans="1:16" ht="15">
      <c r="A398" s="925">
        <v>393</v>
      </c>
      <c r="B398" s="929" t="s">
        <v>1133</v>
      </c>
      <c r="C398" s="927" t="s">
        <v>696</v>
      </c>
      <c r="D398" s="447">
        <v>2000</v>
      </c>
      <c r="E398" s="447">
        <v>10</v>
      </c>
      <c r="F398" s="928" t="s">
        <v>1785</v>
      </c>
      <c r="G398" s="447">
        <v>17.899999999999999</v>
      </c>
      <c r="H398" s="447"/>
      <c r="I398" s="447"/>
      <c r="J398" s="447">
        <v>0</v>
      </c>
      <c r="K398" s="448"/>
      <c r="L398" s="447"/>
      <c r="M398" s="447"/>
      <c r="N398" s="447"/>
      <c r="O398" s="447"/>
      <c r="P398" s="447"/>
    </row>
    <row r="399" spans="1:16" ht="15">
      <c r="A399" s="925">
        <v>394</v>
      </c>
      <c r="B399" s="929" t="s">
        <v>1134</v>
      </c>
      <c r="C399" s="927" t="s">
        <v>684</v>
      </c>
      <c r="D399" s="447">
        <v>2002</v>
      </c>
      <c r="E399" s="447">
        <v>10</v>
      </c>
      <c r="F399" s="928" t="s">
        <v>1785</v>
      </c>
      <c r="G399" s="447">
        <v>17</v>
      </c>
      <c r="H399" s="447"/>
      <c r="I399" s="447"/>
      <c r="J399" s="447">
        <v>0</v>
      </c>
      <c r="K399" s="448"/>
      <c r="L399" s="447"/>
      <c r="M399" s="447"/>
      <c r="N399" s="447"/>
      <c r="O399" s="447"/>
      <c r="P399" s="447"/>
    </row>
    <row r="400" spans="1:16" ht="15">
      <c r="A400" s="925">
        <v>395</v>
      </c>
      <c r="B400" s="929" t="s">
        <v>1135</v>
      </c>
      <c r="C400" s="927" t="s">
        <v>684</v>
      </c>
      <c r="D400" s="447">
        <v>2004</v>
      </c>
      <c r="E400" s="447">
        <v>10</v>
      </c>
      <c r="F400" s="928" t="s">
        <v>1785</v>
      </c>
      <c r="G400" s="447">
        <v>17</v>
      </c>
      <c r="H400" s="447"/>
      <c r="I400" s="447"/>
      <c r="J400" s="447">
        <v>0</v>
      </c>
      <c r="K400" s="448"/>
      <c r="L400" s="447"/>
      <c r="M400" s="447"/>
      <c r="N400" s="447"/>
      <c r="O400" s="447"/>
      <c r="P400" s="447"/>
    </row>
    <row r="401" spans="1:16" ht="12.75" customHeight="1">
      <c r="A401" s="925">
        <v>396</v>
      </c>
      <c r="B401" s="929" t="s">
        <v>1136</v>
      </c>
      <c r="C401" s="927" t="s">
        <v>919</v>
      </c>
      <c r="D401" s="447">
        <v>2004</v>
      </c>
      <c r="E401" s="447">
        <v>10</v>
      </c>
      <c r="F401" s="928" t="s">
        <v>1785</v>
      </c>
      <c r="G401" s="447">
        <v>15.6</v>
      </c>
      <c r="H401" s="447"/>
      <c r="I401" s="447"/>
      <c r="J401" s="447">
        <v>52734.94</v>
      </c>
      <c r="K401" s="448"/>
      <c r="L401" s="447"/>
      <c r="M401" s="447"/>
      <c r="N401" s="447"/>
      <c r="O401" s="447"/>
      <c r="P401" s="447"/>
    </row>
    <row r="402" spans="1:16" ht="12.75" customHeight="1">
      <c r="A402" s="925">
        <v>397</v>
      </c>
      <c r="B402" s="929" t="s">
        <v>1137</v>
      </c>
      <c r="C402" s="927" t="s">
        <v>684</v>
      </c>
      <c r="D402" s="447">
        <v>2004</v>
      </c>
      <c r="E402" s="447">
        <v>10</v>
      </c>
      <c r="F402" s="928" t="s">
        <v>1785</v>
      </c>
      <c r="G402" s="447">
        <v>17</v>
      </c>
      <c r="H402" s="447"/>
      <c r="I402" s="447"/>
      <c r="J402" s="447">
        <v>0</v>
      </c>
      <c r="K402" s="448"/>
      <c r="L402" s="447"/>
      <c r="M402" s="447"/>
      <c r="N402" s="447"/>
      <c r="O402" s="447"/>
      <c r="P402" s="447"/>
    </row>
    <row r="403" spans="1:16" ht="12.75" customHeight="1">
      <c r="A403" s="925">
        <v>398</v>
      </c>
      <c r="B403" s="929" t="s">
        <v>1138</v>
      </c>
      <c r="C403" s="927" t="s">
        <v>684</v>
      </c>
      <c r="D403" s="447">
        <v>2004</v>
      </c>
      <c r="E403" s="447">
        <v>10</v>
      </c>
      <c r="F403" s="928" t="s">
        <v>1785</v>
      </c>
      <c r="G403" s="447">
        <v>17</v>
      </c>
      <c r="H403" s="447"/>
      <c r="I403" s="447"/>
      <c r="J403" s="447">
        <v>4112.25</v>
      </c>
      <c r="K403" s="448"/>
      <c r="L403" s="447"/>
      <c r="M403" s="447"/>
      <c r="N403" s="447"/>
      <c r="O403" s="447"/>
      <c r="P403" s="447"/>
    </row>
    <row r="404" spans="1:16" ht="15">
      <c r="A404" s="925">
        <v>399</v>
      </c>
      <c r="B404" s="929" t="s">
        <v>1139</v>
      </c>
      <c r="C404" s="927" t="s">
        <v>938</v>
      </c>
      <c r="D404" s="447">
        <v>2006</v>
      </c>
      <c r="E404" s="447">
        <v>10</v>
      </c>
      <c r="F404" s="928" t="s">
        <v>1785</v>
      </c>
      <c r="G404" s="447">
        <v>33</v>
      </c>
      <c r="H404" s="447"/>
      <c r="I404" s="447"/>
      <c r="J404" s="447">
        <v>121490.89</v>
      </c>
      <c r="K404" s="448"/>
      <c r="L404" s="447"/>
      <c r="M404" s="447"/>
      <c r="N404" s="447"/>
      <c r="O404" s="447"/>
      <c r="P404" s="447"/>
    </row>
    <row r="405" spans="1:16" ht="15">
      <c r="A405" s="925">
        <v>400</v>
      </c>
      <c r="B405" s="929" t="s">
        <v>1140</v>
      </c>
      <c r="C405" s="927" t="s">
        <v>677</v>
      </c>
      <c r="D405" s="447">
        <v>2001</v>
      </c>
      <c r="E405" s="447">
        <v>8</v>
      </c>
      <c r="F405" s="928" t="s">
        <v>1785</v>
      </c>
      <c r="G405" s="447">
        <v>17</v>
      </c>
      <c r="H405" s="447"/>
      <c r="I405" s="447"/>
      <c r="J405" s="447">
        <v>0</v>
      </c>
      <c r="K405" s="448"/>
      <c r="L405" s="447"/>
      <c r="M405" s="447"/>
      <c r="N405" s="447"/>
      <c r="O405" s="447"/>
      <c r="P405" s="447"/>
    </row>
    <row r="406" spans="1:16" ht="15">
      <c r="A406" s="925">
        <v>401</v>
      </c>
      <c r="B406" s="929" t="s">
        <v>1141</v>
      </c>
      <c r="C406" s="927" t="s">
        <v>686</v>
      </c>
      <c r="D406" s="447">
        <v>1992</v>
      </c>
      <c r="E406" s="447">
        <v>10</v>
      </c>
      <c r="F406" s="928" t="s">
        <v>1785</v>
      </c>
      <c r="G406" s="447">
        <v>26</v>
      </c>
      <c r="H406" s="447"/>
      <c r="I406" s="447"/>
      <c r="J406" s="447">
        <v>0</v>
      </c>
      <c r="K406" s="448"/>
      <c r="L406" s="447"/>
      <c r="M406" s="447"/>
      <c r="N406" s="447"/>
      <c r="O406" s="447"/>
      <c r="P406" s="447"/>
    </row>
    <row r="407" spans="1:16" ht="12.75" customHeight="1">
      <c r="A407" s="925">
        <v>402</v>
      </c>
      <c r="B407" s="929" t="s">
        <v>1142</v>
      </c>
      <c r="C407" s="927" t="s">
        <v>827</v>
      </c>
      <c r="D407" s="447">
        <v>1993</v>
      </c>
      <c r="E407" s="447">
        <v>10</v>
      </c>
      <c r="F407" s="928" t="s">
        <v>1785</v>
      </c>
      <c r="G407" s="447">
        <v>4</v>
      </c>
      <c r="H407" s="447"/>
      <c r="I407" s="447"/>
      <c r="J407" s="447">
        <v>0</v>
      </c>
      <c r="K407" s="448"/>
      <c r="L407" s="447"/>
      <c r="M407" s="447"/>
      <c r="N407" s="447"/>
      <c r="O407" s="447"/>
      <c r="P407" s="447"/>
    </row>
    <row r="408" spans="1:16" ht="15">
      <c r="A408" s="925">
        <v>403</v>
      </c>
      <c r="B408" s="929" t="s">
        <v>1143</v>
      </c>
      <c r="C408" s="927" t="s">
        <v>735</v>
      </c>
      <c r="D408" s="447">
        <v>1990</v>
      </c>
      <c r="E408" s="447">
        <v>10</v>
      </c>
      <c r="F408" s="928" t="s">
        <v>1785</v>
      </c>
      <c r="G408" s="447">
        <v>16.5</v>
      </c>
      <c r="H408" s="447"/>
      <c r="I408" s="447"/>
      <c r="J408" s="447">
        <v>0</v>
      </c>
      <c r="K408" s="448"/>
      <c r="L408" s="447"/>
      <c r="M408" s="447"/>
      <c r="N408" s="447"/>
      <c r="O408" s="447"/>
      <c r="P408" s="447"/>
    </row>
    <row r="409" spans="1:16" ht="15">
      <c r="A409" s="925">
        <v>404</v>
      </c>
      <c r="B409" s="929" t="s">
        <v>1144</v>
      </c>
      <c r="C409" s="927" t="s">
        <v>686</v>
      </c>
      <c r="D409" s="447">
        <v>1992</v>
      </c>
      <c r="E409" s="447">
        <v>10</v>
      </c>
      <c r="F409" s="928" t="s">
        <v>1785</v>
      </c>
      <c r="G409" s="447">
        <v>26</v>
      </c>
      <c r="H409" s="447"/>
      <c r="I409" s="447"/>
      <c r="J409" s="447">
        <v>0</v>
      </c>
      <c r="K409" s="448"/>
      <c r="L409" s="447"/>
      <c r="M409" s="447"/>
      <c r="N409" s="447"/>
      <c r="O409" s="447"/>
      <c r="P409" s="447"/>
    </row>
    <row r="410" spans="1:16" ht="15">
      <c r="A410" s="925">
        <v>405</v>
      </c>
      <c r="B410" s="929" t="s">
        <v>1145</v>
      </c>
      <c r="C410" s="927" t="s">
        <v>735</v>
      </c>
      <c r="D410" s="447">
        <v>1983</v>
      </c>
      <c r="E410" s="447">
        <v>10</v>
      </c>
      <c r="F410" s="928" t="s">
        <v>1785</v>
      </c>
      <c r="G410" s="447">
        <v>22</v>
      </c>
      <c r="H410" s="447"/>
      <c r="I410" s="447"/>
      <c r="J410" s="447">
        <v>0</v>
      </c>
      <c r="K410" s="448"/>
      <c r="L410" s="447"/>
      <c r="M410" s="447"/>
      <c r="N410" s="447"/>
      <c r="O410" s="447"/>
      <c r="P410" s="447"/>
    </row>
    <row r="411" spans="1:16" ht="15">
      <c r="A411" s="925">
        <v>406</v>
      </c>
      <c r="B411" s="929" t="s">
        <v>1146</v>
      </c>
      <c r="C411" s="927" t="s">
        <v>677</v>
      </c>
      <c r="D411" s="447">
        <v>2002</v>
      </c>
      <c r="E411" s="447">
        <v>8</v>
      </c>
      <c r="F411" s="928" t="s">
        <v>1785</v>
      </c>
      <c r="G411" s="447">
        <v>11.5</v>
      </c>
      <c r="H411" s="447"/>
      <c r="I411" s="447"/>
      <c r="J411" s="447">
        <v>0</v>
      </c>
      <c r="K411" s="448"/>
      <c r="L411" s="447"/>
      <c r="M411" s="447"/>
      <c r="N411" s="447"/>
      <c r="O411" s="447"/>
      <c r="P411" s="447"/>
    </row>
    <row r="412" spans="1:16" ht="15">
      <c r="A412" s="925">
        <v>407</v>
      </c>
      <c r="B412" s="929" t="s">
        <v>1147</v>
      </c>
      <c r="C412" s="927" t="s">
        <v>677</v>
      </c>
      <c r="D412" s="447">
        <v>2003</v>
      </c>
      <c r="E412" s="447">
        <v>8</v>
      </c>
      <c r="F412" s="928" t="s">
        <v>1785</v>
      </c>
      <c r="G412" s="447">
        <v>8</v>
      </c>
      <c r="H412" s="447"/>
      <c r="I412" s="447"/>
      <c r="J412" s="447">
        <v>0</v>
      </c>
      <c r="K412" s="448"/>
      <c r="L412" s="447"/>
      <c r="M412" s="447"/>
      <c r="N412" s="447"/>
      <c r="O412" s="447"/>
      <c r="P412" s="447"/>
    </row>
    <row r="413" spans="1:16" ht="15">
      <c r="A413" s="925">
        <v>408</v>
      </c>
      <c r="B413" s="929" t="s">
        <v>1148</v>
      </c>
      <c r="C413" s="927" t="s">
        <v>677</v>
      </c>
      <c r="D413" s="447">
        <v>1998</v>
      </c>
      <c r="E413" s="447">
        <v>8</v>
      </c>
      <c r="F413" s="928" t="s">
        <v>1785</v>
      </c>
      <c r="G413" s="447">
        <v>16.7</v>
      </c>
      <c r="H413" s="447"/>
      <c r="I413" s="447"/>
      <c r="J413" s="447">
        <v>0</v>
      </c>
      <c r="K413" s="448"/>
      <c r="L413" s="447"/>
      <c r="M413" s="447"/>
      <c r="N413" s="447"/>
      <c r="O413" s="447"/>
      <c r="P413" s="447"/>
    </row>
    <row r="414" spans="1:16" ht="15">
      <c r="A414" s="925">
        <v>409</v>
      </c>
      <c r="B414" s="929" t="s">
        <v>1149</v>
      </c>
      <c r="C414" s="927" t="s">
        <v>702</v>
      </c>
      <c r="D414" s="447">
        <v>2001</v>
      </c>
      <c r="E414" s="447">
        <v>10</v>
      </c>
      <c r="F414" s="928" t="s">
        <v>1785</v>
      </c>
      <c r="G414" s="447">
        <v>19.100000000000001</v>
      </c>
      <c r="H414" s="447"/>
      <c r="I414" s="447"/>
      <c r="J414" s="447">
        <v>0</v>
      </c>
      <c r="K414" s="448"/>
      <c r="L414" s="332"/>
      <c r="M414" s="447"/>
      <c r="N414" s="447"/>
      <c r="O414" s="447"/>
      <c r="P414" s="447"/>
    </row>
    <row r="415" spans="1:16" ht="15">
      <c r="A415" s="925">
        <v>410</v>
      </c>
      <c r="B415" s="929" t="s">
        <v>1150</v>
      </c>
      <c r="C415" s="927" t="s">
        <v>764</v>
      </c>
      <c r="D415" s="447">
        <v>1979</v>
      </c>
      <c r="E415" s="447">
        <v>10</v>
      </c>
      <c r="F415" s="928" t="s">
        <v>1785</v>
      </c>
      <c r="G415" s="447">
        <v>0</v>
      </c>
      <c r="H415" s="447"/>
      <c r="I415" s="447"/>
      <c r="J415" s="447">
        <v>0</v>
      </c>
      <c r="K415" s="448"/>
      <c r="L415" s="447"/>
      <c r="M415" s="447"/>
      <c r="N415" s="447"/>
      <c r="O415" s="447"/>
      <c r="P415" s="447"/>
    </row>
    <row r="416" spans="1:16" ht="15">
      <c r="A416" s="925">
        <v>411</v>
      </c>
      <c r="B416" s="929" t="s">
        <v>1151</v>
      </c>
      <c r="C416" s="927" t="s">
        <v>1152</v>
      </c>
      <c r="D416" s="447">
        <v>2007</v>
      </c>
      <c r="E416" s="447">
        <v>10</v>
      </c>
      <c r="F416" s="928" t="s">
        <v>1785</v>
      </c>
      <c r="G416" s="447">
        <v>18</v>
      </c>
      <c r="H416" s="447"/>
      <c r="I416" s="447"/>
      <c r="J416" s="447">
        <v>0</v>
      </c>
      <c r="K416" s="448"/>
      <c r="L416" s="447"/>
      <c r="M416" s="447"/>
      <c r="N416" s="447"/>
      <c r="O416" s="447"/>
      <c r="P416" s="447"/>
    </row>
    <row r="417" spans="1:16" ht="15">
      <c r="A417" s="925">
        <v>412</v>
      </c>
      <c r="B417" s="929" t="s">
        <v>1153</v>
      </c>
      <c r="C417" s="927" t="s">
        <v>779</v>
      </c>
      <c r="D417" s="447">
        <v>2007</v>
      </c>
      <c r="E417" s="447">
        <v>10</v>
      </c>
      <c r="F417" s="928" t="s">
        <v>1785</v>
      </c>
      <c r="G417" s="447">
        <v>17</v>
      </c>
      <c r="H417" s="447"/>
      <c r="I417" s="447"/>
      <c r="J417" s="447">
        <v>25800.45</v>
      </c>
      <c r="K417" s="448"/>
      <c r="L417" s="447"/>
      <c r="M417" s="447"/>
      <c r="N417" s="447"/>
      <c r="O417" s="447"/>
      <c r="P417" s="447"/>
    </row>
    <row r="418" spans="1:16" ht="15">
      <c r="A418" s="925">
        <v>413</v>
      </c>
      <c r="B418" s="929" t="s">
        <v>1154</v>
      </c>
      <c r="C418" s="927" t="s">
        <v>680</v>
      </c>
      <c r="D418" s="447">
        <v>2007</v>
      </c>
      <c r="E418" s="447">
        <v>8</v>
      </c>
      <c r="F418" s="928" t="s">
        <v>1785</v>
      </c>
      <c r="G418" s="447">
        <v>8.4</v>
      </c>
      <c r="H418" s="447"/>
      <c r="I418" s="447"/>
      <c r="J418" s="447">
        <v>12070.28</v>
      </c>
      <c r="K418" s="448"/>
      <c r="L418" s="447"/>
      <c r="M418" s="447"/>
      <c r="N418" s="447"/>
      <c r="O418" s="447"/>
      <c r="P418" s="447"/>
    </row>
    <row r="419" spans="1:16" ht="15">
      <c r="A419" s="925">
        <v>414</v>
      </c>
      <c r="B419" s="929" t="s">
        <v>1155</v>
      </c>
      <c r="C419" s="927" t="s">
        <v>908</v>
      </c>
      <c r="D419" s="447">
        <v>2008</v>
      </c>
      <c r="E419" s="447">
        <v>10</v>
      </c>
      <c r="F419" s="928" t="s">
        <v>1785</v>
      </c>
      <c r="G419" s="447">
        <v>17</v>
      </c>
      <c r="H419" s="447"/>
      <c r="I419" s="447"/>
      <c r="J419" s="447">
        <v>56786.5</v>
      </c>
      <c r="K419" s="448"/>
      <c r="L419" s="447"/>
      <c r="M419" s="447"/>
      <c r="N419" s="447"/>
      <c r="O419" s="447"/>
      <c r="P419" s="447"/>
    </row>
    <row r="420" spans="1:16" ht="15">
      <c r="A420" s="925">
        <v>415</v>
      </c>
      <c r="B420" s="929" t="s">
        <v>1156</v>
      </c>
      <c r="C420" s="927" t="s">
        <v>779</v>
      </c>
      <c r="D420" s="447">
        <v>2011</v>
      </c>
      <c r="E420" s="447">
        <v>10</v>
      </c>
      <c r="F420" s="928" t="s">
        <v>1785</v>
      </c>
      <c r="G420" s="447">
        <v>17</v>
      </c>
      <c r="H420" s="447"/>
      <c r="I420" s="447"/>
      <c r="J420" s="447">
        <v>0</v>
      </c>
      <c r="K420" s="448"/>
      <c r="L420" s="447"/>
      <c r="M420" s="447"/>
      <c r="N420" s="447"/>
      <c r="O420" s="447"/>
      <c r="P420" s="447"/>
    </row>
    <row r="421" spans="1:16" ht="12" customHeight="1">
      <c r="A421" s="925">
        <v>416</v>
      </c>
      <c r="B421" s="929" t="s">
        <v>1157</v>
      </c>
      <c r="C421" s="927" t="s">
        <v>779</v>
      </c>
      <c r="D421" s="447">
        <v>2011</v>
      </c>
      <c r="E421" s="447">
        <v>10</v>
      </c>
      <c r="F421" s="928" t="s">
        <v>1785</v>
      </c>
      <c r="G421" s="447">
        <v>17</v>
      </c>
      <c r="H421" s="447"/>
      <c r="I421" s="447"/>
      <c r="J421" s="447">
        <v>108798.93</v>
      </c>
      <c r="K421" s="448"/>
      <c r="L421" s="447"/>
      <c r="M421" s="447"/>
      <c r="N421" s="447"/>
      <c r="O421" s="447"/>
      <c r="P421" s="447"/>
    </row>
    <row r="422" spans="1:16" ht="15">
      <c r="A422" s="925">
        <v>417</v>
      </c>
      <c r="B422" s="934" t="s">
        <v>954</v>
      </c>
      <c r="C422" s="927" t="s">
        <v>680</v>
      </c>
      <c r="D422" s="447">
        <v>2012</v>
      </c>
      <c r="E422" s="447">
        <v>8</v>
      </c>
      <c r="F422" s="928" t="s">
        <v>1785</v>
      </c>
      <c r="G422" s="447">
        <v>11.5</v>
      </c>
      <c r="H422" s="447"/>
      <c r="I422" s="447"/>
      <c r="J422" s="447">
        <v>71625</v>
      </c>
      <c r="K422" s="448"/>
      <c r="L422" s="447"/>
      <c r="M422" s="447"/>
      <c r="N422" s="447"/>
      <c r="O422" s="447"/>
      <c r="P422" s="447"/>
    </row>
    <row r="423" spans="1:16" ht="15">
      <c r="A423" s="925">
        <v>418</v>
      </c>
      <c r="B423" s="929" t="s">
        <v>1158</v>
      </c>
      <c r="C423" s="927" t="s">
        <v>919</v>
      </c>
      <c r="D423" s="447">
        <v>1989</v>
      </c>
      <c r="E423" s="447">
        <v>10</v>
      </c>
      <c r="F423" s="928" t="s">
        <v>1786</v>
      </c>
      <c r="G423" s="447">
        <v>15.6</v>
      </c>
      <c r="H423" s="447"/>
      <c r="I423" s="447"/>
      <c r="J423" s="447">
        <v>0</v>
      </c>
      <c r="K423" s="448"/>
      <c r="L423" s="447"/>
      <c r="M423" s="447"/>
      <c r="N423" s="447"/>
      <c r="O423" s="447"/>
      <c r="P423" s="447"/>
    </row>
    <row r="424" spans="1:16" ht="15">
      <c r="A424" s="925">
        <v>419</v>
      </c>
      <c r="B424" s="929" t="s">
        <v>1159</v>
      </c>
      <c r="C424" s="927" t="s">
        <v>735</v>
      </c>
      <c r="D424" s="447">
        <v>1990</v>
      </c>
      <c r="E424" s="447">
        <v>10</v>
      </c>
      <c r="F424" s="928" t="s">
        <v>1786</v>
      </c>
      <c r="G424" s="447">
        <v>22</v>
      </c>
      <c r="H424" s="447"/>
      <c r="I424" s="447"/>
      <c r="J424" s="447">
        <v>0</v>
      </c>
      <c r="K424" s="448"/>
      <c r="L424" s="447"/>
      <c r="M424" s="447"/>
      <c r="N424" s="447"/>
      <c r="O424" s="447"/>
      <c r="P424" s="447"/>
    </row>
    <row r="425" spans="1:16" ht="12.75" customHeight="1">
      <c r="A425" s="925">
        <v>420</v>
      </c>
      <c r="B425" s="929" t="s">
        <v>1160</v>
      </c>
      <c r="C425" s="927" t="s">
        <v>686</v>
      </c>
      <c r="D425" s="447">
        <v>1960</v>
      </c>
      <c r="E425" s="447">
        <v>10</v>
      </c>
      <c r="F425" s="928" t="s">
        <v>1786</v>
      </c>
      <c r="G425" s="447">
        <v>26</v>
      </c>
      <c r="H425" s="447"/>
      <c r="I425" s="447"/>
      <c r="J425" s="447">
        <v>0</v>
      </c>
      <c r="K425" s="448"/>
      <c r="L425" s="447"/>
      <c r="M425" s="447"/>
      <c r="N425" s="447"/>
      <c r="O425" s="447"/>
      <c r="P425" s="447"/>
    </row>
    <row r="426" spans="1:16" ht="15">
      <c r="A426" s="925">
        <v>421</v>
      </c>
      <c r="B426" s="929" t="s">
        <v>1161</v>
      </c>
      <c r="C426" s="927" t="s">
        <v>822</v>
      </c>
      <c r="D426" s="447">
        <v>1991</v>
      </c>
      <c r="E426" s="447">
        <v>10</v>
      </c>
      <c r="F426" s="928" t="s">
        <v>1786</v>
      </c>
      <c r="G426" s="447">
        <v>26</v>
      </c>
      <c r="H426" s="447"/>
      <c r="I426" s="447"/>
      <c r="J426" s="447">
        <v>0</v>
      </c>
      <c r="K426" s="448"/>
      <c r="L426" s="447"/>
      <c r="M426" s="447"/>
      <c r="N426" s="447"/>
      <c r="O426" s="447"/>
      <c r="P426" s="447"/>
    </row>
    <row r="427" spans="1:16" ht="15">
      <c r="A427" s="925">
        <v>422</v>
      </c>
      <c r="B427" s="929" t="s">
        <v>1162</v>
      </c>
      <c r="C427" s="927" t="s">
        <v>816</v>
      </c>
      <c r="D427" s="447">
        <v>2003</v>
      </c>
      <c r="E427" s="447">
        <v>10</v>
      </c>
      <c r="F427" s="928" t="s">
        <v>1786</v>
      </c>
      <c r="G427" s="447">
        <v>24.4</v>
      </c>
      <c r="H427" s="447"/>
      <c r="I427" s="447"/>
      <c r="J427" s="447">
        <v>0</v>
      </c>
      <c r="K427" s="448"/>
      <c r="L427" s="447"/>
      <c r="M427" s="447"/>
      <c r="N427" s="447"/>
      <c r="O427" s="447"/>
      <c r="P427" s="447"/>
    </row>
    <row r="428" spans="1:16" ht="15">
      <c r="A428" s="925">
        <v>423</v>
      </c>
      <c r="B428" s="929" t="s">
        <v>1163</v>
      </c>
      <c r="C428" s="927" t="s">
        <v>827</v>
      </c>
      <c r="D428" s="447">
        <v>1987</v>
      </c>
      <c r="E428" s="447">
        <v>10</v>
      </c>
      <c r="F428" s="928" t="s">
        <v>1786</v>
      </c>
      <c r="G428" s="447">
        <v>7.8</v>
      </c>
      <c r="H428" s="447"/>
      <c r="I428" s="447"/>
      <c r="J428" s="447">
        <v>12645.03</v>
      </c>
      <c r="K428" s="448"/>
      <c r="L428" s="447"/>
      <c r="M428" s="447"/>
      <c r="N428" s="447"/>
      <c r="O428" s="447"/>
      <c r="P428" s="447"/>
    </row>
    <row r="429" spans="1:16" ht="15">
      <c r="A429" s="925">
        <v>424</v>
      </c>
      <c r="B429" s="929" t="s">
        <v>1164</v>
      </c>
      <c r="C429" s="927" t="s">
        <v>684</v>
      </c>
      <c r="D429" s="447">
        <v>2004</v>
      </c>
      <c r="E429" s="447">
        <v>10</v>
      </c>
      <c r="F429" s="928" t="s">
        <v>1786</v>
      </c>
      <c r="G429" s="447">
        <v>17</v>
      </c>
      <c r="H429" s="447"/>
      <c r="I429" s="447"/>
      <c r="J429" s="447">
        <v>4116.2700000000004</v>
      </c>
      <c r="K429" s="448"/>
      <c r="L429" s="447"/>
      <c r="M429" s="447"/>
      <c r="N429" s="447"/>
      <c r="O429" s="447"/>
      <c r="P429" s="447"/>
    </row>
    <row r="430" spans="1:16" ht="15">
      <c r="A430" s="925">
        <v>425</v>
      </c>
      <c r="B430" s="929" t="s">
        <v>1165</v>
      </c>
      <c r="C430" s="927" t="s">
        <v>684</v>
      </c>
      <c r="D430" s="447">
        <v>2006</v>
      </c>
      <c r="E430" s="447">
        <v>10</v>
      </c>
      <c r="F430" s="928" t="s">
        <v>1786</v>
      </c>
      <c r="G430" s="447">
        <v>17</v>
      </c>
      <c r="H430" s="447"/>
      <c r="I430" s="447"/>
      <c r="J430" s="447">
        <v>13389.66</v>
      </c>
      <c r="K430" s="448"/>
      <c r="L430" s="447"/>
      <c r="M430" s="447"/>
      <c r="N430" s="447"/>
      <c r="O430" s="447"/>
      <c r="P430" s="447"/>
    </row>
    <row r="431" spans="1:16" ht="15">
      <c r="A431" s="925">
        <v>426</v>
      </c>
      <c r="B431" s="929" t="s">
        <v>1166</v>
      </c>
      <c r="C431" s="927" t="s">
        <v>735</v>
      </c>
      <c r="D431" s="447">
        <v>1999</v>
      </c>
      <c r="E431" s="447">
        <v>10</v>
      </c>
      <c r="F431" s="928" t="s">
        <v>1786</v>
      </c>
      <c r="G431" s="447">
        <v>15.8</v>
      </c>
      <c r="H431" s="447"/>
      <c r="I431" s="447"/>
      <c r="J431" s="447">
        <v>0</v>
      </c>
      <c r="K431" s="448"/>
      <c r="L431" s="447"/>
      <c r="M431" s="447"/>
      <c r="N431" s="447"/>
      <c r="O431" s="447"/>
      <c r="P431" s="447"/>
    </row>
    <row r="432" spans="1:16" ht="15">
      <c r="A432" s="925">
        <v>427</v>
      </c>
      <c r="B432" s="929" t="s">
        <v>1167</v>
      </c>
      <c r="C432" s="927" t="s">
        <v>735</v>
      </c>
      <c r="D432" s="447">
        <v>2000</v>
      </c>
      <c r="E432" s="447">
        <v>10</v>
      </c>
      <c r="F432" s="928" t="s">
        <v>1786</v>
      </c>
      <c r="G432" s="447">
        <v>16.5</v>
      </c>
      <c r="H432" s="447"/>
      <c r="I432" s="447"/>
      <c r="J432" s="447">
        <v>0</v>
      </c>
      <c r="K432" s="448"/>
      <c r="L432" s="447"/>
      <c r="M432" s="447"/>
      <c r="N432" s="447"/>
      <c r="O432" s="447"/>
      <c r="P432" s="447"/>
    </row>
    <row r="433" spans="1:16" ht="15">
      <c r="A433" s="925">
        <v>428</v>
      </c>
      <c r="B433" s="929" t="s">
        <v>1168</v>
      </c>
      <c r="C433" s="927" t="s">
        <v>696</v>
      </c>
      <c r="D433" s="447">
        <v>2001</v>
      </c>
      <c r="E433" s="447">
        <v>10</v>
      </c>
      <c r="F433" s="928" t="s">
        <v>1786</v>
      </c>
      <c r="G433" s="447">
        <v>17.899999999999999</v>
      </c>
      <c r="H433" s="447"/>
      <c r="I433" s="447"/>
      <c r="J433" s="447">
        <v>0</v>
      </c>
      <c r="K433" s="448"/>
      <c r="L433" s="447"/>
      <c r="M433" s="447"/>
      <c r="N433" s="447"/>
      <c r="O433" s="447"/>
      <c r="P433" s="447"/>
    </row>
    <row r="434" spans="1:16" ht="15">
      <c r="A434" s="925">
        <v>429</v>
      </c>
      <c r="B434" s="929" t="s">
        <v>1169</v>
      </c>
      <c r="C434" s="927" t="s">
        <v>702</v>
      </c>
      <c r="D434" s="447">
        <v>2002</v>
      </c>
      <c r="E434" s="447">
        <v>8</v>
      </c>
      <c r="F434" s="928" t="s">
        <v>1786</v>
      </c>
      <c r="G434" s="447">
        <v>17.8</v>
      </c>
      <c r="H434" s="447"/>
      <c r="I434" s="447"/>
      <c r="J434" s="447">
        <v>0</v>
      </c>
      <c r="K434" s="448"/>
      <c r="L434" s="447"/>
      <c r="M434" s="447"/>
      <c r="N434" s="447"/>
      <c r="O434" s="447"/>
      <c r="P434" s="447"/>
    </row>
    <row r="435" spans="1:16" ht="15">
      <c r="A435" s="925">
        <v>430</v>
      </c>
      <c r="B435" s="929" t="s">
        <v>1170</v>
      </c>
      <c r="C435" s="927" t="s">
        <v>677</v>
      </c>
      <c r="D435" s="447">
        <v>2002</v>
      </c>
      <c r="E435" s="447">
        <v>10</v>
      </c>
      <c r="F435" s="928" t="s">
        <v>1786</v>
      </c>
      <c r="G435" s="447">
        <v>11.5</v>
      </c>
      <c r="H435" s="447"/>
      <c r="I435" s="447"/>
      <c r="J435" s="447">
        <v>0</v>
      </c>
      <c r="K435" s="448"/>
      <c r="L435" s="447"/>
      <c r="M435" s="447"/>
      <c r="N435" s="447"/>
      <c r="O435" s="447"/>
      <c r="P435" s="447"/>
    </row>
    <row r="436" spans="1:16" ht="15">
      <c r="A436" s="925">
        <v>431</v>
      </c>
      <c r="B436" s="929" t="s">
        <v>1171</v>
      </c>
      <c r="C436" s="927" t="s">
        <v>1172</v>
      </c>
      <c r="D436" s="447">
        <v>2008</v>
      </c>
      <c r="E436" s="447">
        <v>8</v>
      </c>
      <c r="F436" s="928" t="s">
        <v>1786</v>
      </c>
      <c r="G436" s="447">
        <v>11.5</v>
      </c>
      <c r="H436" s="447"/>
      <c r="I436" s="447"/>
      <c r="J436" s="447">
        <v>18770.48</v>
      </c>
      <c r="K436" s="448"/>
      <c r="L436" s="447"/>
      <c r="M436" s="447"/>
      <c r="N436" s="447"/>
      <c r="O436" s="447"/>
      <c r="P436" s="447"/>
    </row>
    <row r="437" spans="1:16" ht="15">
      <c r="A437" s="925">
        <v>432</v>
      </c>
      <c r="B437" s="929" t="s">
        <v>1173</v>
      </c>
      <c r="C437" s="927" t="s">
        <v>779</v>
      </c>
      <c r="D437" s="447">
        <v>2007</v>
      </c>
      <c r="E437" s="447">
        <v>10</v>
      </c>
      <c r="F437" s="928" t="s">
        <v>1786</v>
      </c>
      <c r="G437" s="447">
        <v>17</v>
      </c>
      <c r="H437" s="447"/>
      <c r="I437" s="447"/>
      <c r="J437" s="447">
        <v>25800.45</v>
      </c>
      <c r="K437" s="448"/>
      <c r="L437" s="447"/>
      <c r="M437" s="447"/>
      <c r="N437" s="447"/>
      <c r="O437" s="447"/>
      <c r="P437" s="447"/>
    </row>
    <row r="438" spans="1:16" ht="15">
      <c r="A438" s="925">
        <v>433</v>
      </c>
      <c r="B438" s="929" t="s">
        <v>1174</v>
      </c>
      <c r="C438" s="927" t="s">
        <v>680</v>
      </c>
      <c r="D438" s="447">
        <v>2007</v>
      </c>
      <c r="E438" s="447">
        <v>8</v>
      </c>
      <c r="F438" s="928" t="s">
        <v>1786</v>
      </c>
      <c r="G438" s="447">
        <v>11.5</v>
      </c>
      <c r="H438" s="447"/>
      <c r="I438" s="447"/>
      <c r="J438" s="447">
        <v>15472.43</v>
      </c>
      <c r="K438" s="448"/>
      <c r="L438" s="447"/>
      <c r="M438" s="447"/>
      <c r="N438" s="447"/>
      <c r="O438" s="447"/>
      <c r="P438" s="447"/>
    </row>
    <row r="439" spans="1:16" ht="15">
      <c r="A439" s="925">
        <v>434</v>
      </c>
      <c r="B439" s="929" t="s">
        <v>1175</v>
      </c>
      <c r="C439" s="927" t="s">
        <v>684</v>
      </c>
      <c r="D439" s="447">
        <v>2009</v>
      </c>
      <c r="E439" s="447">
        <v>10</v>
      </c>
      <c r="F439" s="928" t="s">
        <v>1786</v>
      </c>
      <c r="G439" s="447">
        <v>17</v>
      </c>
      <c r="H439" s="447"/>
      <c r="I439" s="447"/>
      <c r="J439" s="447">
        <v>54008.46</v>
      </c>
      <c r="K439" s="448"/>
      <c r="L439" s="447"/>
      <c r="M439" s="447"/>
      <c r="N439" s="447"/>
      <c r="O439" s="447"/>
      <c r="P439" s="447"/>
    </row>
    <row r="440" spans="1:16" ht="15">
      <c r="A440" s="925">
        <v>435</v>
      </c>
      <c r="B440" s="929" t="s">
        <v>1176</v>
      </c>
      <c r="C440" s="927" t="s">
        <v>1130</v>
      </c>
      <c r="D440" s="447">
        <v>2000</v>
      </c>
      <c r="E440" s="447">
        <v>10</v>
      </c>
      <c r="F440" s="928" t="s">
        <v>1786</v>
      </c>
      <c r="G440" s="447">
        <v>17.100000000000001</v>
      </c>
      <c r="H440" s="447"/>
      <c r="I440" s="447"/>
      <c r="J440" s="447">
        <v>0</v>
      </c>
      <c r="K440" s="448"/>
      <c r="L440" s="447"/>
      <c r="M440" s="447"/>
      <c r="N440" s="447"/>
      <c r="O440" s="447"/>
      <c r="P440" s="447"/>
    </row>
    <row r="441" spans="1:16" ht="15">
      <c r="A441" s="925">
        <v>436</v>
      </c>
      <c r="B441" s="929" t="s">
        <v>1177</v>
      </c>
      <c r="C441" s="927" t="s">
        <v>1117</v>
      </c>
      <c r="D441" s="447">
        <v>2012</v>
      </c>
      <c r="E441" s="447">
        <v>0</v>
      </c>
      <c r="F441" s="928" t="s">
        <v>1787</v>
      </c>
      <c r="G441" s="447">
        <v>11.5</v>
      </c>
      <c r="H441" s="447"/>
      <c r="I441" s="447"/>
      <c r="J441" s="447">
        <v>75976.05</v>
      </c>
      <c r="K441" s="448"/>
      <c r="L441" s="447"/>
      <c r="M441" s="447"/>
      <c r="N441" s="447"/>
      <c r="O441" s="447"/>
      <c r="P441" s="447"/>
    </row>
    <row r="442" spans="1:16" ht="13.5" customHeight="1">
      <c r="A442" s="925">
        <v>437</v>
      </c>
      <c r="B442" s="929" t="s">
        <v>1178</v>
      </c>
      <c r="C442" s="927" t="s">
        <v>677</v>
      </c>
      <c r="D442" s="447">
        <v>1998</v>
      </c>
      <c r="E442" s="447">
        <v>8</v>
      </c>
      <c r="F442" s="928" t="s">
        <v>1787</v>
      </c>
      <c r="G442" s="447">
        <v>16.7</v>
      </c>
      <c r="H442" s="447">
        <v>1.6</v>
      </c>
      <c r="I442" s="447">
        <v>19.2</v>
      </c>
      <c r="J442" s="447">
        <v>0</v>
      </c>
      <c r="K442" s="448"/>
      <c r="L442" s="447"/>
      <c r="M442" s="447"/>
      <c r="N442" s="447"/>
      <c r="O442" s="447"/>
      <c r="P442" s="447"/>
    </row>
    <row r="443" spans="1:16" ht="15">
      <c r="A443" s="925">
        <v>438</v>
      </c>
      <c r="B443" s="929" t="s">
        <v>1179</v>
      </c>
      <c r="C443" s="927" t="s">
        <v>684</v>
      </c>
      <c r="D443" s="447">
        <v>2005</v>
      </c>
      <c r="E443" s="447">
        <v>10</v>
      </c>
      <c r="F443" s="928" t="s">
        <v>1787</v>
      </c>
      <c r="G443" s="447">
        <v>17</v>
      </c>
      <c r="H443" s="447"/>
      <c r="I443" s="447"/>
      <c r="J443" s="447">
        <v>0</v>
      </c>
      <c r="K443" s="448"/>
      <c r="L443" s="447"/>
      <c r="M443" s="447"/>
      <c r="N443" s="447"/>
      <c r="O443" s="447"/>
      <c r="P443" s="447"/>
    </row>
    <row r="444" spans="1:16" ht="12.75" customHeight="1">
      <c r="A444" s="925">
        <v>439</v>
      </c>
      <c r="B444" s="929" t="s">
        <v>1180</v>
      </c>
      <c r="C444" s="927" t="s">
        <v>696</v>
      </c>
      <c r="D444" s="447">
        <v>2001</v>
      </c>
      <c r="E444" s="447">
        <v>10</v>
      </c>
      <c r="F444" s="928" t="s">
        <v>1787</v>
      </c>
      <c r="G444" s="447">
        <v>17.899999999999999</v>
      </c>
      <c r="H444" s="447"/>
      <c r="I444" s="447"/>
      <c r="J444" s="447">
        <v>0</v>
      </c>
      <c r="K444" s="448"/>
      <c r="L444" s="447"/>
      <c r="M444" s="447"/>
      <c r="N444" s="447"/>
      <c r="O444" s="447"/>
      <c r="P444" s="447"/>
    </row>
    <row r="445" spans="1:16" ht="15">
      <c r="A445" s="925">
        <v>440</v>
      </c>
      <c r="B445" s="929" t="s">
        <v>1181</v>
      </c>
      <c r="C445" s="927" t="s">
        <v>1182</v>
      </c>
      <c r="D445" s="447">
        <v>1992</v>
      </c>
      <c r="E445" s="447">
        <v>10</v>
      </c>
      <c r="F445" s="928" t="s">
        <v>1787</v>
      </c>
      <c r="G445" s="447">
        <v>12.5</v>
      </c>
      <c r="H445" s="447"/>
      <c r="I445" s="447"/>
      <c r="J445" s="447">
        <v>0</v>
      </c>
      <c r="K445" s="448"/>
      <c r="L445" s="447"/>
      <c r="M445" s="447"/>
      <c r="N445" s="447"/>
      <c r="O445" s="447"/>
      <c r="P445" s="447"/>
    </row>
    <row r="446" spans="1:16" ht="15">
      <c r="A446" s="925">
        <v>441</v>
      </c>
      <c r="B446" s="929" t="s">
        <v>1183</v>
      </c>
      <c r="C446" s="927" t="s">
        <v>691</v>
      </c>
      <c r="D446" s="447">
        <v>1990</v>
      </c>
      <c r="E446" s="447">
        <v>10</v>
      </c>
      <c r="F446" s="928" t="s">
        <v>1787</v>
      </c>
      <c r="G446" s="447">
        <v>25</v>
      </c>
      <c r="H446" s="447">
        <v>2.1</v>
      </c>
      <c r="I446" s="447">
        <v>25.2</v>
      </c>
      <c r="J446" s="447">
        <v>0</v>
      </c>
      <c r="K446" s="448"/>
      <c r="L446" s="447"/>
      <c r="M446" s="447"/>
      <c r="N446" s="447"/>
      <c r="O446" s="447"/>
      <c r="P446" s="447"/>
    </row>
    <row r="447" spans="1:16" ht="15">
      <c r="A447" s="925">
        <v>442</v>
      </c>
      <c r="B447" s="929" t="s">
        <v>1184</v>
      </c>
      <c r="C447" s="927" t="s">
        <v>696</v>
      </c>
      <c r="D447" s="447">
        <v>2001</v>
      </c>
      <c r="E447" s="447">
        <v>10</v>
      </c>
      <c r="F447" s="928" t="s">
        <v>1787</v>
      </c>
      <c r="G447" s="447">
        <v>17.899999999999999</v>
      </c>
      <c r="H447" s="447"/>
      <c r="I447" s="447"/>
      <c r="J447" s="447">
        <v>0</v>
      </c>
      <c r="K447" s="448"/>
      <c r="L447" s="447"/>
      <c r="M447" s="447"/>
      <c r="N447" s="447"/>
      <c r="O447" s="447"/>
      <c r="P447" s="447"/>
    </row>
    <row r="448" spans="1:16" ht="15">
      <c r="A448" s="925">
        <v>443</v>
      </c>
      <c r="B448" s="929" t="s">
        <v>1185</v>
      </c>
      <c r="C448" s="927" t="s">
        <v>684</v>
      </c>
      <c r="D448" s="447">
        <v>2004</v>
      </c>
      <c r="E448" s="447">
        <v>10</v>
      </c>
      <c r="F448" s="928" t="s">
        <v>1787</v>
      </c>
      <c r="G448" s="447">
        <v>11</v>
      </c>
      <c r="H448" s="447"/>
      <c r="I448" s="447"/>
      <c r="J448" s="447">
        <v>0</v>
      </c>
      <c r="K448" s="448"/>
      <c r="L448" s="447"/>
      <c r="M448" s="447"/>
      <c r="N448" s="447"/>
      <c r="O448" s="447"/>
      <c r="P448" s="447"/>
    </row>
    <row r="449" spans="1:16" ht="15">
      <c r="A449" s="925">
        <v>444</v>
      </c>
      <c r="B449" s="929" t="s">
        <v>1186</v>
      </c>
      <c r="C449" s="927" t="s">
        <v>684</v>
      </c>
      <c r="D449" s="447">
        <v>2005</v>
      </c>
      <c r="E449" s="447">
        <v>10</v>
      </c>
      <c r="F449" s="928" t="s">
        <v>1787</v>
      </c>
      <c r="G449" s="447">
        <v>11</v>
      </c>
      <c r="H449" s="447"/>
      <c r="I449" s="447"/>
      <c r="J449" s="447">
        <v>2675.22</v>
      </c>
      <c r="K449" s="448"/>
      <c r="L449" s="447"/>
      <c r="M449" s="447"/>
      <c r="N449" s="447"/>
      <c r="O449" s="447"/>
      <c r="P449" s="447"/>
    </row>
    <row r="450" spans="1:16" ht="15">
      <c r="A450" s="925">
        <v>445</v>
      </c>
      <c r="B450" s="929" t="s">
        <v>1187</v>
      </c>
      <c r="C450" s="927" t="s">
        <v>938</v>
      </c>
      <c r="D450" s="447">
        <v>2004</v>
      </c>
      <c r="E450" s="447">
        <v>10</v>
      </c>
      <c r="F450" s="928" t="s">
        <v>1787</v>
      </c>
      <c r="G450" s="447">
        <v>39</v>
      </c>
      <c r="H450" s="447"/>
      <c r="I450" s="447"/>
      <c r="J450" s="447">
        <v>64325.56</v>
      </c>
      <c r="K450" s="448"/>
      <c r="L450" s="447"/>
      <c r="M450" s="447"/>
      <c r="N450" s="447"/>
      <c r="O450" s="447"/>
      <c r="P450" s="447"/>
    </row>
    <row r="451" spans="1:16" ht="12.75" customHeight="1">
      <c r="A451" s="925">
        <v>446</v>
      </c>
      <c r="B451" s="929" t="s">
        <v>1188</v>
      </c>
      <c r="C451" s="927" t="s">
        <v>1189</v>
      </c>
      <c r="D451" s="447">
        <v>1998</v>
      </c>
      <c r="E451" s="447">
        <v>10</v>
      </c>
      <c r="F451" s="928" t="s">
        <v>1787</v>
      </c>
      <c r="G451" s="447">
        <v>7.8</v>
      </c>
      <c r="H451" s="447"/>
      <c r="I451" s="447"/>
      <c r="J451" s="447">
        <v>9857.23</v>
      </c>
      <c r="K451" s="448"/>
      <c r="L451" s="447"/>
      <c r="M451" s="447"/>
      <c r="N451" s="447"/>
      <c r="O451" s="447"/>
      <c r="P451" s="447"/>
    </row>
    <row r="452" spans="1:16" ht="15">
      <c r="A452" s="925">
        <v>447</v>
      </c>
      <c r="B452" s="929" t="s">
        <v>1190</v>
      </c>
      <c r="C452" s="927" t="s">
        <v>696</v>
      </c>
      <c r="D452" s="447">
        <v>2001</v>
      </c>
      <c r="E452" s="447">
        <v>10</v>
      </c>
      <c r="F452" s="928" t="s">
        <v>1787</v>
      </c>
      <c r="G452" s="447">
        <v>17.899999999999999</v>
      </c>
      <c r="H452" s="447"/>
      <c r="I452" s="447"/>
      <c r="J452" s="447">
        <v>0</v>
      </c>
      <c r="K452" s="448"/>
      <c r="L452" s="447"/>
      <c r="M452" s="447"/>
      <c r="N452" s="447"/>
      <c r="O452" s="447"/>
      <c r="P452" s="447"/>
    </row>
    <row r="453" spans="1:16" ht="15">
      <c r="A453" s="925">
        <v>448</v>
      </c>
      <c r="B453" s="929" t="s">
        <v>1191</v>
      </c>
      <c r="C453" s="927" t="s">
        <v>677</v>
      </c>
      <c r="D453" s="447">
        <v>2002</v>
      </c>
      <c r="E453" s="447">
        <v>8</v>
      </c>
      <c r="F453" s="928" t="s">
        <v>1787</v>
      </c>
      <c r="G453" s="447">
        <v>11.5</v>
      </c>
      <c r="H453" s="447"/>
      <c r="I453" s="447"/>
      <c r="J453" s="447">
        <v>0</v>
      </c>
      <c r="K453" s="448"/>
      <c r="L453" s="447"/>
      <c r="M453" s="447"/>
      <c r="N453" s="447"/>
      <c r="O453" s="447"/>
      <c r="P453" s="447"/>
    </row>
    <row r="454" spans="1:16" ht="15">
      <c r="A454" s="925">
        <v>449</v>
      </c>
      <c r="B454" s="929" t="s">
        <v>1192</v>
      </c>
      <c r="C454" s="927" t="s">
        <v>677</v>
      </c>
      <c r="D454" s="447">
        <v>1999</v>
      </c>
      <c r="E454" s="447">
        <v>8</v>
      </c>
      <c r="F454" s="928" t="s">
        <v>1787</v>
      </c>
      <c r="G454" s="447">
        <v>13</v>
      </c>
      <c r="H454" s="447"/>
      <c r="I454" s="447"/>
      <c r="J454" s="447">
        <v>0</v>
      </c>
      <c r="K454" s="448"/>
      <c r="L454" s="447"/>
      <c r="M454" s="447"/>
      <c r="N454" s="447"/>
      <c r="O454" s="447"/>
      <c r="P454" s="447"/>
    </row>
    <row r="455" spans="1:16" ht="15">
      <c r="A455" s="925">
        <v>450</v>
      </c>
      <c r="B455" s="929" t="s">
        <v>1193</v>
      </c>
      <c r="C455" s="927" t="s">
        <v>691</v>
      </c>
      <c r="D455" s="447">
        <v>2000</v>
      </c>
      <c r="E455" s="447">
        <v>10</v>
      </c>
      <c r="F455" s="928" t="s">
        <v>1787</v>
      </c>
      <c r="G455" s="447">
        <v>17.100000000000001</v>
      </c>
      <c r="H455" s="447"/>
      <c r="I455" s="447"/>
      <c r="J455" s="447">
        <v>0</v>
      </c>
      <c r="K455" s="448"/>
      <c r="L455" s="447"/>
      <c r="M455" s="447"/>
      <c r="N455" s="447"/>
      <c r="O455" s="447"/>
      <c r="P455" s="447"/>
    </row>
    <row r="456" spans="1:16" ht="12.75" customHeight="1">
      <c r="A456" s="925">
        <v>451</v>
      </c>
      <c r="B456" s="929" t="s">
        <v>1194</v>
      </c>
      <c r="C456" s="927" t="s">
        <v>702</v>
      </c>
      <c r="D456" s="447">
        <v>1999</v>
      </c>
      <c r="E456" s="447">
        <v>8</v>
      </c>
      <c r="F456" s="928" t="s">
        <v>1787</v>
      </c>
      <c r="G456" s="447">
        <v>17.8</v>
      </c>
      <c r="H456" s="447"/>
      <c r="I456" s="447"/>
      <c r="J456" s="447">
        <v>0</v>
      </c>
      <c r="K456" s="448"/>
      <c r="L456" s="447"/>
      <c r="M456" s="447"/>
      <c r="N456" s="447"/>
      <c r="O456" s="447"/>
      <c r="P456" s="447"/>
    </row>
    <row r="457" spans="1:16" ht="15">
      <c r="A457" s="925">
        <v>452</v>
      </c>
      <c r="B457" s="929" t="s">
        <v>1195</v>
      </c>
      <c r="C457" s="927" t="s">
        <v>684</v>
      </c>
      <c r="D457" s="447">
        <v>2006</v>
      </c>
      <c r="E457" s="447">
        <v>10</v>
      </c>
      <c r="F457" s="928" t="s">
        <v>1787</v>
      </c>
      <c r="G457" s="447">
        <v>17</v>
      </c>
      <c r="H457" s="447"/>
      <c r="I457" s="447"/>
      <c r="J457" s="447">
        <v>13399.11</v>
      </c>
      <c r="K457" s="448"/>
      <c r="L457" s="447"/>
      <c r="M457" s="447"/>
      <c r="N457" s="447"/>
      <c r="O457" s="447"/>
      <c r="P457" s="447"/>
    </row>
    <row r="458" spans="1:16" ht="12.75" customHeight="1">
      <c r="A458" s="925">
        <v>453</v>
      </c>
      <c r="B458" s="929" t="s">
        <v>1196</v>
      </c>
      <c r="C458" s="927" t="s">
        <v>702</v>
      </c>
      <c r="D458" s="447">
        <v>2003</v>
      </c>
      <c r="E458" s="447">
        <v>8</v>
      </c>
      <c r="F458" s="928" t="s">
        <v>1787</v>
      </c>
      <c r="G458" s="447">
        <v>17</v>
      </c>
      <c r="H458" s="447"/>
      <c r="I458" s="447"/>
      <c r="J458" s="447">
        <v>0</v>
      </c>
      <c r="K458" s="448"/>
      <c r="L458" s="447"/>
      <c r="M458" s="447"/>
      <c r="N458" s="447"/>
      <c r="O458" s="447"/>
      <c r="P458" s="447"/>
    </row>
    <row r="459" spans="1:16" ht="15">
      <c r="A459" s="925">
        <v>454</v>
      </c>
      <c r="B459" s="929" t="s">
        <v>1197</v>
      </c>
      <c r="C459" s="927" t="s">
        <v>1152</v>
      </c>
      <c r="D459" s="447">
        <v>2007</v>
      </c>
      <c r="E459" s="447">
        <v>10</v>
      </c>
      <c r="F459" s="928" t="s">
        <v>1787</v>
      </c>
      <c r="G459" s="447">
        <v>18</v>
      </c>
      <c r="H459" s="447"/>
      <c r="I459" s="447"/>
      <c r="J459" s="447">
        <v>0</v>
      </c>
      <c r="K459" s="448"/>
      <c r="L459" s="447"/>
      <c r="M459" s="447"/>
      <c r="N459" s="447"/>
      <c r="O459" s="447"/>
      <c r="P459" s="447"/>
    </row>
    <row r="460" spans="1:16" ht="15">
      <c r="A460" s="925">
        <v>455</v>
      </c>
      <c r="B460" s="929" t="s">
        <v>1198</v>
      </c>
      <c r="C460" s="927" t="s">
        <v>784</v>
      </c>
      <c r="D460" s="447">
        <v>2008</v>
      </c>
      <c r="E460" s="447">
        <v>10</v>
      </c>
      <c r="F460" s="928" t="s">
        <v>1787</v>
      </c>
      <c r="G460" s="447">
        <v>17.100000000000001</v>
      </c>
      <c r="H460" s="447"/>
      <c r="I460" s="447"/>
      <c r="J460" s="447">
        <v>66883.09</v>
      </c>
      <c r="K460" s="448"/>
      <c r="L460" s="447"/>
      <c r="M460" s="447"/>
      <c r="N460" s="447"/>
      <c r="O460" s="447"/>
      <c r="P460" s="447"/>
    </row>
    <row r="461" spans="1:16" ht="15">
      <c r="A461" s="925">
        <v>456</v>
      </c>
      <c r="B461" s="929" t="s">
        <v>1199</v>
      </c>
      <c r="C461" s="927" t="s">
        <v>784</v>
      </c>
      <c r="D461" s="447">
        <v>2008</v>
      </c>
      <c r="E461" s="447">
        <v>10</v>
      </c>
      <c r="F461" s="928" t="s">
        <v>1787</v>
      </c>
      <c r="G461" s="447">
        <v>17.100000000000001</v>
      </c>
      <c r="H461" s="447"/>
      <c r="I461" s="447"/>
      <c r="J461" s="447">
        <v>66883.039999999994</v>
      </c>
      <c r="K461" s="448"/>
      <c r="L461" s="447"/>
      <c r="M461" s="447"/>
      <c r="N461" s="447"/>
      <c r="O461" s="447"/>
      <c r="P461" s="447"/>
    </row>
    <row r="462" spans="1:16" ht="15">
      <c r="A462" s="925">
        <v>457</v>
      </c>
      <c r="B462" s="929" t="s">
        <v>1200</v>
      </c>
      <c r="C462" s="927" t="s">
        <v>908</v>
      </c>
      <c r="D462" s="447">
        <v>2008</v>
      </c>
      <c r="E462" s="447">
        <v>10</v>
      </c>
      <c r="F462" s="928" t="s">
        <v>1787</v>
      </c>
      <c r="G462" s="447">
        <v>17</v>
      </c>
      <c r="H462" s="447"/>
      <c r="I462" s="447"/>
      <c r="J462" s="447">
        <v>56786.5</v>
      </c>
      <c r="K462" s="448"/>
      <c r="L462" s="447"/>
      <c r="M462" s="447"/>
      <c r="N462" s="447"/>
      <c r="O462" s="447"/>
      <c r="P462" s="447"/>
    </row>
    <row r="463" spans="1:16" ht="15">
      <c r="A463" s="925">
        <v>458</v>
      </c>
      <c r="B463" s="929" t="s">
        <v>1201</v>
      </c>
      <c r="C463" s="927" t="s">
        <v>908</v>
      </c>
      <c r="D463" s="447">
        <v>2008</v>
      </c>
      <c r="E463" s="447">
        <v>10</v>
      </c>
      <c r="F463" s="928" t="s">
        <v>1787</v>
      </c>
      <c r="G463" s="447">
        <v>17</v>
      </c>
      <c r="H463" s="447"/>
      <c r="I463" s="447"/>
      <c r="J463" s="447">
        <v>56786.5</v>
      </c>
      <c r="K463" s="448"/>
      <c r="L463" s="447"/>
      <c r="M463" s="447"/>
      <c r="N463" s="447"/>
      <c r="O463" s="447"/>
      <c r="P463" s="447"/>
    </row>
    <row r="464" spans="1:16" ht="15">
      <c r="A464" s="925">
        <v>459</v>
      </c>
      <c r="B464" s="929" t="s">
        <v>1202</v>
      </c>
      <c r="C464" s="927" t="s">
        <v>680</v>
      </c>
      <c r="D464" s="447">
        <v>2011</v>
      </c>
      <c r="E464" s="447">
        <v>8</v>
      </c>
      <c r="F464" s="928" t="s">
        <v>1787</v>
      </c>
      <c r="G464" s="447">
        <v>11.5</v>
      </c>
      <c r="H464" s="447"/>
      <c r="I464" s="447"/>
      <c r="J464" s="447">
        <v>0</v>
      </c>
      <c r="K464" s="448"/>
      <c r="L464" s="447"/>
      <c r="M464" s="447"/>
      <c r="N464" s="447"/>
      <c r="O464" s="447"/>
      <c r="P464" s="447"/>
    </row>
    <row r="465" spans="1:16" ht="15">
      <c r="A465" s="925">
        <v>460</v>
      </c>
      <c r="B465" s="929" t="s">
        <v>954</v>
      </c>
      <c r="C465" s="928" t="s">
        <v>680</v>
      </c>
      <c r="D465" s="452">
        <v>2012</v>
      </c>
      <c r="E465" s="452">
        <v>8</v>
      </c>
      <c r="F465" s="928" t="s">
        <v>1787</v>
      </c>
      <c r="G465" s="452">
        <v>11.5</v>
      </c>
      <c r="H465" s="453"/>
      <c r="I465" s="453"/>
      <c r="J465" s="452">
        <v>71625</v>
      </c>
      <c r="K465" s="454"/>
      <c r="L465" s="452"/>
      <c r="M465" s="452"/>
      <c r="N465" s="452"/>
      <c r="O465" s="452"/>
      <c r="P465" s="453"/>
    </row>
  </sheetData>
  <mergeCells count="12">
    <mergeCell ref="L3:P3"/>
    <mergeCell ref="A2:P2"/>
    <mergeCell ref="A3:A4"/>
    <mergeCell ref="B3:B4"/>
    <mergeCell ref="C3:C4"/>
    <mergeCell ref="D3:D4"/>
    <mergeCell ref="E3:E4"/>
    <mergeCell ref="F3:F4"/>
    <mergeCell ref="G3:G4"/>
    <mergeCell ref="H3:I3"/>
    <mergeCell ref="J3:J4"/>
    <mergeCell ref="K3:K4"/>
  </mergeCells>
  <phoneticPr fontId="2" type="noConversion"/>
  <printOptions horizontalCentered="1"/>
  <pageMargins left="0.35433070866141736" right="0.27559055118110237" top="0.82677165354330717" bottom="0.98425196850393704" header="0.51181102362204722" footer="0.51181102362204722"/>
  <pageSetup paperSize="9" scale="79" fitToHeight="10" orientation="landscape" horizontalDpi="300" verticalDpi="300" r:id="rId1"/>
  <headerFooter alignWithMargins="0"/>
</worksheet>
</file>

<file path=xl/worksheets/sheet18.xml><?xml version="1.0" encoding="utf-8"?>
<worksheet xmlns="http://schemas.openxmlformats.org/spreadsheetml/2006/main" xmlns:r="http://schemas.openxmlformats.org/officeDocument/2006/relationships">
  <sheetPr>
    <tabColor rgb="FF00B0F0"/>
  </sheetPr>
  <dimension ref="A1:J14"/>
  <sheetViews>
    <sheetView view="pageBreakPreview" zoomScaleNormal="100" zoomScaleSheetLayoutView="100" workbookViewId="0">
      <selection activeCell="D18" sqref="D18"/>
    </sheetView>
  </sheetViews>
  <sheetFormatPr defaultRowHeight="12.75"/>
  <cols>
    <col min="1" max="1" width="4" style="919" customWidth="1"/>
    <col min="2" max="2" width="17" style="919" customWidth="1"/>
    <col min="3" max="3" width="21.7109375" style="919" customWidth="1"/>
    <col min="4" max="4" width="17.85546875" style="919" customWidth="1"/>
    <col min="5" max="5" width="13.42578125" style="919" customWidth="1"/>
    <col min="6" max="6" width="15.140625" style="919" customWidth="1"/>
    <col min="7" max="7" width="12.140625" style="919" customWidth="1"/>
    <col min="8" max="8" width="20.42578125" style="919" customWidth="1"/>
    <col min="9" max="9" width="19" style="919" customWidth="1"/>
    <col min="10" max="10" width="10.5703125" style="919" customWidth="1"/>
    <col min="11" max="16384" width="9.140625" style="919"/>
  </cols>
  <sheetData>
    <row r="1" spans="1:10" s="918" customFormat="1" ht="18.75">
      <c r="A1" s="914"/>
      <c r="B1" s="914"/>
      <c r="C1" s="914"/>
      <c r="D1" s="914"/>
      <c r="F1" s="935"/>
      <c r="G1" s="914"/>
      <c r="H1" s="914"/>
      <c r="I1" s="914"/>
      <c r="J1" s="914"/>
    </row>
    <row r="2" spans="1:10" s="918" customFormat="1" ht="15.75">
      <c r="A2" s="914"/>
      <c r="B2" s="914"/>
      <c r="C2" s="914"/>
      <c r="D2" s="914"/>
      <c r="E2" s="914"/>
      <c r="F2" s="914"/>
      <c r="G2" s="914"/>
      <c r="H2" s="914"/>
      <c r="I2" s="1236"/>
      <c r="J2" s="1236"/>
    </row>
    <row r="3" spans="1:10" s="918" customFormat="1">
      <c r="A3" s="914"/>
      <c r="B3" s="914"/>
      <c r="C3" s="914"/>
      <c r="D3" s="914"/>
      <c r="E3" s="914"/>
      <c r="F3" s="914"/>
      <c r="G3" s="914"/>
      <c r="H3" s="914"/>
      <c r="I3" s="914"/>
      <c r="J3" s="914"/>
    </row>
    <row r="4" spans="1:10" ht="25.5" customHeight="1">
      <c r="A4" s="1237" t="s">
        <v>332</v>
      </c>
      <c r="B4" s="1237"/>
      <c r="C4" s="1237"/>
      <c r="D4" s="1237"/>
      <c r="E4" s="1237"/>
      <c r="F4" s="1237"/>
      <c r="G4" s="1237"/>
      <c r="H4" s="1237"/>
      <c r="I4" s="1237"/>
      <c r="J4" s="1237"/>
    </row>
    <row r="5" spans="1:10" ht="18.75" customHeight="1">
      <c r="A5" s="1230" t="s">
        <v>1531</v>
      </c>
      <c r="B5" s="1230" t="s">
        <v>1419</v>
      </c>
      <c r="C5" s="1230" t="s">
        <v>1420</v>
      </c>
      <c r="D5" s="1230" t="s">
        <v>286</v>
      </c>
      <c r="E5" s="1238" t="s">
        <v>285</v>
      </c>
      <c r="F5" s="1239"/>
      <c r="G5" s="1239"/>
      <c r="H5" s="1239"/>
      <c r="I5" s="1240"/>
      <c r="J5" s="1230" t="s">
        <v>1418</v>
      </c>
    </row>
    <row r="6" spans="1:10" s="920" customFormat="1" ht="91.5" customHeight="1">
      <c r="A6" s="1230"/>
      <c r="B6" s="1230"/>
      <c r="C6" s="1230"/>
      <c r="D6" s="1230"/>
      <c r="E6" s="921" t="s">
        <v>79</v>
      </c>
      <c r="F6" s="921" t="s">
        <v>1416</v>
      </c>
      <c r="G6" s="921" t="s">
        <v>80</v>
      </c>
      <c r="H6" s="921" t="s">
        <v>1417</v>
      </c>
      <c r="I6" s="921" t="s">
        <v>1421</v>
      </c>
      <c r="J6" s="1230"/>
    </row>
    <row r="7" spans="1:10" s="920" customFormat="1" ht="13.5" customHeight="1">
      <c r="A7" s="936">
        <v>1</v>
      </c>
      <c r="B7" s="936">
        <v>2</v>
      </c>
      <c r="C7" s="936">
        <v>3</v>
      </c>
      <c r="D7" s="936">
        <v>4</v>
      </c>
      <c r="E7" s="936">
        <v>5</v>
      </c>
      <c r="F7" s="936">
        <v>6</v>
      </c>
      <c r="G7" s="936">
        <v>7</v>
      </c>
      <c r="H7" s="936">
        <v>8</v>
      </c>
      <c r="I7" s="936" t="s">
        <v>81</v>
      </c>
      <c r="J7" s="936" t="s">
        <v>82</v>
      </c>
    </row>
    <row r="8" spans="1:10" s="920" customFormat="1" ht="14.25" customHeight="1">
      <c r="A8" s="198">
        <v>1</v>
      </c>
      <c r="B8" s="937" t="s">
        <v>211</v>
      </c>
      <c r="C8" s="937" t="s">
        <v>1204</v>
      </c>
      <c r="D8" s="938">
        <v>551.66999999999996</v>
      </c>
      <c r="E8" s="938">
        <v>1</v>
      </c>
      <c r="F8" s="938">
        <v>76.400000000000006</v>
      </c>
      <c r="G8" s="938">
        <v>10</v>
      </c>
      <c r="H8" s="938">
        <v>2</v>
      </c>
      <c r="I8" s="939">
        <f>E8+F8+G8+H8</f>
        <v>89.4</v>
      </c>
      <c r="J8" s="939">
        <f>D8/I8</f>
        <v>6.1708053691275158</v>
      </c>
    </row>
    <row r="9" spans="1:10" s="920" customFormat="1" ht="14.25" customHeight="1">
      <c r="A9" s="198">
        <v>2</v>
      </c>
      <c r="B9" s="937" t="s">
        <v>211</v>
      </c>
      <c r="C9" s="937" t="s">
        <v>1204</v>
      </c>
      <c r="D9" s="938">
        <v>551.66999999999996</v>
      </c>
      <c r="E9" s="938">
        <v>1</v>
      </c>
      <c r="F9" s="938">
        <v>76.400000000000006</v>
      </c>
      <c r="G9" s="938">
        <v>10</v>
      </c>
      <c r="H9" s="938">
        <v>2</v>
      </c>
      <c r="I9" s="939">
        <f>E9+F9+G9+H9</f>
        <v>89.4</v>
      </c>
      <c r="J9" s="939">
        <f>D9/I9</f>
        <v>6.1708053691275158</v>
      </c>
    </row>
    <row r="10" spans="1:10" s="920" customFormat="1" ht="13.5" customHeight="1">
      <c r="A10" s="198">
        <v>3</v>
      </c>
      <c r="B10" s="937" t="s">
        <v>212</v>
      </c>
      <c r="C10" s="937" t="s">
        <v>541</v>
      </c>
      <c r="D10" s="938">
        <v>408.13</v>
      </c>
      <c r="E10" s="938">
        <v>44.35</v>
      </c>
      <c r="F10" s="938">
        <v>28</v>
      </c>
      <c r="G10" s="938">
        <v>6</v>
      </c>
      <c r="H10" s="938">
        <v>1</v>
      </c>
      <c r="I10" s="939">
        <f>E10+F10+G10+H10</f>
        <v>79.349999999999994</v>
      </c>
      <c r="J10" s="939">
        <f>D10/I10</f>
        <v>5.1434152488972904</v>
      </c>
    </row>
    <row r="11" spans="1:10" s="920" customFormat="1" ht="13.5" customHeight="1">
      <c r="A11" s="198">
        <v>4</v>
      </c>
      <c r="B11" s="937" t="s">
        <v>212</v>
      </c>
      <c r="C11" s="937" t="s">
        <v>541</v>
      </c>
      <c r="D11" s="938">
        <v>408.13</v>
      </c>
      <c r="E11" s="938">
        <v>44.35</v>
      </c>
      <c r="F11" s="938">
        <v>28</v>
      </c>
      <c r="G11" s="938">
        <v>6</v>
      </c>
      <c r="H11" s="938">
        <v>1</v>
      </c>
      <c r="I11" s="939">
        <f>E11+F11+G11+H11</f>
        <v>79.349999999999994</v>
      </c>
      <c r="J11" s="939">
        <f>D11/I11</f>
        <v>5.1434152488972904</v>
      </c>
    </row>
    <row r="12" spans="1:10" s="920" customFormat="1" ht="14.25" customHeight="1">
      <c r="A12" s="198">
        <v>5</v>
      </c>
      <c r="B12" s="937" t="s">
        <v>212</v>
      </c>
      <c r="C12" s="937" t="s">
        <v>541</v>
      </c>
      <c r="D12" s="938">
        <v>408.13</v>
      </c>
      <c r="E12" s="938">
        <v>44.35</v>
      </c>
      <c r="F12" s="938">
        <v>28</v>
      </c>
      <c r="G12" s="938">
        <v>6</v>
      </c>
      <c r="H12" s="938">
        <v>1</v>
      </c>
      <c r="I12" s="939">
        <f>E12+F12+G12+H12</f>
        <v>79.349999999999994</v>
      </c>
      <c r="J12" s="939">
        <f>D12/I12</f>
        <v>5.1434152488972904</v>
      </c>
    </row>
    <row r="13" spans="1:10">
      <c r="A13" s="940"/>
      <c r="B13" s="940"/>
      <c r="C13" s="940"/>
      <c r="D13" s="940"/>
      <c r="E13" s="940"/>
      <c r="F13" s="940"/>
      <c r="G13" s="940"/>
      <c r="H13" s="940"/>
      <c r="I13" s="940"/>
      <c r="J13" s="940"/>
    </row>
    <row r="14" spans="1:10">
      <c r="I14" s="919" t="s">
        <v>213</v>
      </c>
    </row>
  </sheetData>
  <mergeCells count="8">
    <mergeCell ref="I2:J2"/>
    <mergeCell ref="A4:J4"/>
    <mergeCell ref="A5:A6"/>
    <mergeCell ref="B5:B6"/>
    <mergeCell ref="C5:C6"/>
    <mergeCell ref="D5:D6"/>
    <mergeCell ref="E5:I5"/>
    <mergeCell ref="J5:J6"/>
  </mergeCells>
  <phoneticPr fontId="2" type="noConversion"/>
  <pageMargins left="0.35433070866141736" right="0.27559055118110237" top="0.79" bottom="0.98425196850393704" header="0.51181102362204722" footer="0.51181102362204722"/>
  <pageSetup paperSize="9" scale="92" fitToHeight="10" orientation="landscape" horizontalDpi="300" verticalDpi="300" r:id="rId1"/>
  <headerFooter alignWithMargins="0"/>
</worksheet>
</file>

<file path=xl/worksheets/sheet19.xml><?xml version="1.0" encoding="utf-8"?>
<worksheet xmlns="http://schemas.openxmlformats.org/spreadsheetml/2006/main" xmlns:r="http://schemas.openxmlformats.org/officeDocument/2006/relationships">
  <sheetPr codeName="Лист19">
    <tabColor rgb="FF00B0F0"/>
  </sheetPr>
  <dimension ref="A1:K38"/>
  <sheetViews>
    <sheetView view="pageBreakPreview" zoomScaleNormal="100" zoomScaleSheetLayoutView="100" workbookViewId="0">
      <selection activeCell="O14" sqref="O14"/>
    </sheetView>
  </sheetViews>
  <sheetFormatPr defaultRowHeight="12.75"/>
  <cols>
    <col min="1" max="1" width="12.42578125" style="23" customWidth="1"/>
    <col min="2" max="2" width="7.5703125" style="22" customWidth="1"/>
    <col min="3" max="4" width="8" style="22" customWidth="1"/>
    <col min="5" max="5" width="7.140625" style="22" customWidth="1"/>
    <col min="6" max="7" width="8.140625" style="22" customWidth="1"/>
    <col min="8" max="8" width="7.5703125" style="22" customWidth="1"/>
    <col min="9" max="10" width="8.140625" style="22" customWidth="1"/>
    <col min="11" max="11" width="7.5703125" style="22" customWidth="1"/>
    <col min="12" max="16384" width="9.140625" style="22"/>
  </cols>
  <sheetData>
    <row r="1" spans="1:11" s="94" customFormat="1" ht="29.25" customHeight="1">
      <c r="A1" s="97"/>
      <c r="B1" s="97"/>
      <c r="C1" s="97"/>
      <c r="D1" s="97"/>
      <c r="E1" s="185"/>
      <c r="F1" s="97"/>
      <c r="G1" s="97"/>
      <c r="H1" s="97"/>
      <c r="I1" s="97"/>
      <c r="J1" s="97"/>
      <c r="K1" s="97"/>
    </row>
    <row r="2" spans="1:11" s="94" customFormat="1" ht="16.5">
      <c r="A2" s="97"/>
      <c r="B2" s="97"/>
      <c r="C2" s="97"/>
      <c r="D2" s="97"/>
      <c r="E2" s="160"/>
      <c r="F2" s="97"/>
      <c r="G2" s="97"/>
      <c r="H2" s="1246"/>
      <c r="I2" s="1246"/>
      <c r="J2" s="1246"/>
      <c r="K2" s="1246"/>
    </row>
    <row r="3" spans="1:11" s="94" customFormat="1" ht="15.75">
      <c r="A3" s="97"/>
      <c r="B3" s="97"/>
      <c r="C3" s="97"/>
      <c r="D3" s="97"/>
      <c r="E3" s="97"/>
      <c r="F3" s="97"/>
      <c r="G3" s="33"/>
      <c r="H3" s="35"/>
      <c r="I3" s="35"/>
      <c r="J3" s="35"/>
      <c r="K3" s="171"/>
    </row>
    <row r="4" spans="1:11" s="18" customFormat="1" ht="22.5" customHeight="1" thickBot="1">
      <c r="A4" s="1245" t="s">
        <v>1422</v>
      </c>
      <c r="B4" s="1245"/>
      <c r="C4" s="1245"/>
      <c r="D4" s="1245"/>
      <c r="E4" s="1245"/>
      <c r="F4" s="1245"/>
      <c r="G4" s="1245"/>
      <c r="H4" s="1245"/>
      <c r="I4" s="1245"/>
      <c r="J4" s="1245"/>
      <c r="K4" s="1245"/>
    </row>
    <row r="5" spans="1:11" ht="16.5" customHeight="1">
      <c r="A5" s="975" t="s">
        <v>1690</v>
      </c>
      <c r="B5" s="975"/>
      <c r="C5" s="1253">
        <v>2008</v>
      </c>
      <c r="D5" s="1254"/>
      <c r="E5" s="1255"/>
      <c r="F5" s="1242">
        <v>2009</v>
      </c>
      <c r="G5" s="1243"/>
      <c r="H5" s="1244"/>
      <c r="I5" s="1242">
        <v>2010</v>
      </c>
      <c r="J5" s="1243"/>
      <c r="K5" s="1244"/>
    </row>
    <row r="6" spans="1:11" ht="30.75" customHeight="1">
      <c r="A6" s="975"/>
      <c r="B6" s="975"/>
      <c r="C6" s="423" t="s">
        <v>674</v>
      </c>
      <c r="D6" s="424" t="s">
        <v>675</v>
      </c>
      <c r="E6" s="425" t="s">
        <v>1534</v>
      </c>
      <c r="F6" s="423" t="s">
        <v>674</v>
      </c>
      <c r="G6" s="424" t="s">
        <v>675</v>
      </c>
      <c r="H6" s="425" t="s">
        <v>1534</v>
      </c>
      <c r="I6" s="423" t="s">
        <v>674</v>
      </c>
      <c r="J6" s="424" t="s">
        <v>675</v>
      </c>
      <c r="K6" s="425" t="s">
        <v>1534</v>
      </c>
    </row>
    <row r="7" spans="1:11" ht="28.5" customHeight="1">
      <c r="A7" s="975" t="s">
        <v>1425</v>
      </c>
      <c r="B7" s="42" t="s">
        <v>127</v>
      </c>
      <c r="C7" s="429">
        <v>3003.81</v>
      </c>
      <c r="D7" s="430">
        <v>1053.0894001335639</v>
      </c>
      <c r="E7" s="431"/>
      <c r="F7" s="429">
        <v>2600.3129999999996</v>
      </c>
      <c r="G7" s="430">
        <v>1107.28561498</v>
      </c>
      <c r="H7" s="432"/>
      <c r="I7" s="433">
        <v>3060.6219999999998</v>
      </c>
      <c r="J7" s="434">
        <v>1521.2915323499999</v>
      </c>
      <c r="K7" s="431"/>
    </row>
    <row r="8" spans="1:11" ht="20.25" customHeight="1">
      <c r="A8" s="975"/>
      <c r="B8" s="100" t="s">
        <v>1601</v>
      </c>
      <c r="C8" s="435">
        <v>2811.2419999999997</v>
      </c>
      <c r="D8" s="436">
        <v>985.23689547061235</v>
      </c>
      <c r="E8" s="431">
        <f>C8/C7</f>
        <v>0.93589208372034172</v>
      </c>
      <c r="F8" s="435">
        <v>2408.953</v>
      </c>
      <c r="G8" s="436">
        <v>1025.78203596</v>
      </c>
      <c r="H8" s="431">
        <f>F8/F7</f>
        <v>0.92640885924117611</v>
      </c>
      <c r="I8" s="433">
        <v>2853.2359999999999</v>
      </c>
      <c r="J8" s="434">
        <v>1418.3093365399995</v>
      </c>
      <c r="K8" s="431">
        <f>I8/I7</f>
        <v>0.93224057070752286</v>
      </c>
    </row>
    <row r="9" spans="1:11" ht="18" customHeight="1">
      <c r="A9" s="975"/>
      <c r="B9" s="100" t="s">
        <v>1602</v>
      </c>
      <c r="C9" s="435">
        <v>1746.778</v>
      </c>
      <c r="D9" s="436">
        <v>613.64307392086437</v>
      </c>
      <c r="E9" s="431">
        <f>C9/C7</f>
        <v>0.58152080191490141</v>
      </c>
      <c r="F9" s="435">
        <v>1649.2169999999999</v>
      </c>
      <c r="G9" s="436">
        <v>702.07591759999991</v>
      </c>
      <c r="H9" s="431">
        <f>F9/F7</f>
        <v>0.63423787828619094</v>
      </c>
      <c r="I9" s="433">
        <v>1686.8889999999999</v>
      </c>
      <c r="J9" s="434">
        <v>837.05874032000008</v>
      </c>
      <c r="K9" s="431">
        <f>I9/I7</f>
        <v>0.55115888208344577</v>
      </c>
    </row>
    <row r="10" spans="1:11" ht="30">
      <c r="A10" s="975" t="s">
        <v>1424</v>
      </c>
      <c r="B10" s="42" t="s">
        <v>127</v>
      </c>
      <c r="C10" s="429">
        <v>326.56700000000001</v>
      </c>
      <c r="D10" s="430">
        <v>114.5164727858339</v>
      </c>
      <c r="E10" s="431">
        <f>C10/C7</f>
        <v>0.1087175953206095</v>
      </c>
      <c r="F10" s="429">
        <v>307.75900000000001</v>
      </c>
      <c r="G10" s="430">
        <v>131.06914777</v>
      </c>
      <c r="H10" s="431">
        <f>F10/F7</f>
        <v>0.11835459808107718</v>
      </c>
      <c r="I10" s="433">
        <v>353.59600000000006</v>
      </c>
      <c r="J10" s="430">
        <v>175.35357467999998</v>
      </c>
      <c r="K10" s="431">
        <f>I10/I7</f>
        <v>0.11553076466156229</v>
      </c>
    </row>
    <row r="11" spans="1:11" ht="12.75" customHeight="1">
      <c r="A11" s="975"/>
      <c r="B11" s="100" t="s">
        <v>1601</v>
      </c>
      <c r="C11" s="435">
        <v>106.18899999999999</v>
      </c>
      <c r="D11" s="436">
        <v>37.002765468339604</v>
      </c>
      <c r="E11" s="431">
        <f>C11/C8</f>
        <v>3.7772984325077669E-2</v>
      </c>
      <c r="F11" s="435">
        <v>88.103999999999999</v>
      </c>
      <c r="G11" s="436">
        <v>37.543939309999999</v>
      </c>
      <c r="H11" s="431">
        <f>F11/F8</f>
        <v>3.657356536221338E-2</v>
      </c>
      <c r="I11" s="433">
        <v>112.495</v>
      </c>
      <c r="J11" s="434">
        <v>55.791834340000008</v>
      </c>
      <c r="K11" s="431">
        <f>I11/I8</f>
        <v>3.9427162702279098E-2</v>
      </c>
    </row>
    <row r="12" spans="1:11" ht="15">
      <c r="A12" s="975"/>
      <c r="B12" s="100" t="s">
        <v>1602</v>
      </c>
      <c r="C12" s="435">
        <v>220.37800000000001</v>
      </c>
      <c r="D12" s="436">
        <v>77.513707317494308</v>
      </c>
      <c r="E12" s="431">
        <f>C12/C9</f>
        <v>0.12616256902708875</v>
      </c>
      <c r="F12" s="435">
        <v>219.655</v>
      </c>
      <c r="G12" s="436">
        <v>93.525208460000002</v>
      </c>
      <c r="H12" s="431">
        <f>F12/F9</f>
        <v>0.13318744592130691</v>
      </c>
      <c r="I12" s="433">
        <v>241.10100000000003</v>
      </c>
      <c r="J12" s="434">
        <v>119.56174033999999</v>
      </c>
      <c r="K12" s="431">
        <f>I12/I9</f>
        <v>0.14292641661662389</v>
      </c>
    </row>
    <row r="13" spans="1:11" ht="30">
      <c r="A13" s="975" t="s">
        <v>1423</v>
      </c>
      <c r="B13" s="42" t="s">
        <v>127</v>
      </c>
      <c r="C13" s="437">
        <v>16.056999999999988</v>
      </c>
      <c r="D13" s="430">
        <v>6.867797570606446</v>
      </c>
      <c r="E13" s="431">
        <f>C13/C7</f>
        <v>5.3455444918287069E-3</v>
      </c>
      <c r="F13" s="429">
        <v>33.200000000000003</v>
      </c>
      <c r="G13" s="430">
        <v>14.381592309999998</v>
      </c>
      <c r="H13" s="431">
        <f>F13/F7</f>
        <v>1.2767693735331096E-2</v>
      </c>
      <c r="I13" s="433">
        <v>-0.3940000000000019</v>
      </c>
      <c r="J13" s="430">
        <v>0.53650015000000018</v>
      </c>
      <c r="K13" s="431">
        <f>I13/I7</f>
        <v>-1.2873200284125317E-4</v>
      </c>
    </row>
    <row r="14" spans="1:11" ht="12.75" customHeight="1">
      <c r="A14" s="975"/>
      <c r="B14" s="100" t="s">
        <v>1601</v>
      </c>
      <c r="C14" s="435">
        <v>-65.22</v>
      </c>
      <c r="D14" s="436">
        <v>-22.625447683925302</v>
      </c>
      <c r="E14" s="431">
        <f>C14/C8</f>
        <v>-2.319971030597864E-2</v>
      </c>
      <c r="F14" s="435">
        <v>-53.242000000000004</v>
      </c>
      <c r="G14" s="436">
        <v>-22.716869810000002</v>
      </c>
      <c r="H14" s="431">
        <f>F14/F8</f>
        <v>-2.2101718049293617E-2</v>
      </c>
      <c r="I14" s="433">
        <v>-76.676999999999978</v>
      </c>
      <c r="J14" s="434">
        <v>-38.132546799999993</v>
      </c>
      <c r="K14" s="431">
        <f>I14/I8</f>
        <v>-2.6873697093405518E-2</v>
      </c>
    </row>
    <row r="15" spans="1:11" ht="15.75" thickBot="1">
      <c r="A15" s="975"/>
      <c r="B15" s="100" t="s">
        <v>1602</v>
      </c>
      <c r="C15" s="438">
        <v>81.276999999999987</v>
      </c>
      <c r="D15" s="439">
        <v>29.493245254531747</v>
      </c>
      <c r="E15" s="440">
        <f>C15/C9</f>
        <v>4.6529667765451581E-2</v>
      </c>
      <c r="F15" s="438">
        <v>86.441999999999993</v>
      </c>
      <c r="G15" s="439">
        <v>37.098462119999994</v>
      </c>
      <c r="H15" s="440">
        <f>F15/F9</f>
        <v>5.2413963717327677E-2</v>
      </c>
      <c r="I15" s="441">
        <v>76.282999999999987</v>
      </c>
      <c r="J15" s="442">
        <v>38.669046949999995</v>
      </c>
      <c r="K15" s="440">
        <f>I15/I9</f>
        <v>4.5221114133769322E-2</v>
      </c>
    </row>
    <row r="16" spans="1:11" ht="15.75" thickBot="1">
      <c r="A16" s="126"/>
      <c r="B16" s="90"/>
      <c r="C16" s="90"/>
      <c r="D16" s="90"/>
      <c r="E16" s="90"/>
      <c r="F16" s="90"/>
      <c r="G16" s="90"/>
      <c r="H16" s="90"/>
      <c r="I16" s="90"/>
      <c r="J16" s="90"/>
      <c r="K16" s="90"/>
    </row>
    <row r="17" spans="1:11" ht="16.5" customHeight="1">
      <c r="A17" s="975" t="s">
        <v>1690</v>
      </c>
      <c r="B17" s="975"/>
      <c r="C17" s="1242">
        <v>2011</v>
      </c>
      <c r="D17" s="1243"/>
      <c r="E17" s="1244"/>
      <c r="F17" s="1250">
        <v>2012</v>
      </c>
      <c r="G17" s="1251"/>
      <c r="H17" s="1252"/>
      <c r="I17" s="1247" t="s">
        <v>472</v>
      </c>
      <c r="J17" s="1248"/>
      <c r="K17" s="1249"/>
    </row>
    <row r="18" spans="1:11" ht="30.75" customHeight="1">
      <c r="A18" s="975"/>
      <c r="B18" s="975"/>
      <c r="C18" s="423" t="s">
        <v>674</v>
      </c>
      <c r="D18" s="424" t="s">
        <v>675</v>
      </c>
      <c r="E18" s="425" t="s">
        <v>1534</v>
      </c>
      <c r="F18" s="426" t="s">
        <v>674</v>
      </c>
      <c r="G18" s="427" t="s">
        <v>675</v>
      </c>
      <c r="H18" s="428" t="s">
        <v>1534</v>
      </c>
      <c r="I18" s="426" t="s">
        <v>674</v>
      </c>
      <c r="J18" s="427" t="s">
        <v>675</v>
      </c>
      <c r="K18" s="428" t="s">
        <v>1534</v>
      </c>
    </row>
    <row r="19" spans="1:11" ht="27.75" customHeight="1">
      <c r="A19" s="975" t="s">
        <v>1425</v>
      </c>
      <c r="B19" s="42" t="s">
        <v>127</v>
      </c>
      <c r="C19" s="433">
        <v>3215.5659999999998</v>
      </c>
      <c r="D19" s="434">
        <v>1970.5319769200003</v>
      </c>
      <c r="E19" s="443"/>
      <c r="F19" s="433">
        <v>3339.38</v>
      </c>
      <c r="G19" s="434">
        <v>2370.7919999999999</v>
      </c>
      <c r="H19" s="443"/>
      <c r="I19" s="693">
        <v>3294.1179999999999</v>
      </c>
      <c r="J19" s="694">
        <v>2297.953</v>
      </c>
      <c r="K19" s="444"/>
    </row>
    <row r="20" spans="1:11" ht="19.5" customHeight="1">
      <c r="A20" s="975"/>
      <c r="B20" s="100" t="s">
        <v>1601</v>
      </c>
      <c r="C20" s="433">
        <v>3008.2789999999995</v>
      </c>
      <c r="D20" s="434">
        <v>1843.5852000999998</v>
      </c>
      <c r="E20" s="445">
        <f>C20/C19</f>
        <v>0.93553638768415881</v>
      </c>
      <c r="F20" s="433">
        <v>3124.1019999999999</v>
      </c>
      <c r="G20" s="434">
        <v>2218.0070000000001</v>
      </c>
      <c r="H20" s="445">
        <f>F20/F19</f>
        <v>0.93553354215453166</v>
      </c>
      <c r="I20" s="693">
        <v>3077.7750000000001</v>
      </c>
      <c r="J20" s="694">
        <v>2147.5320000000002</v>
      </c>
      <c r="K20" s="445">
        <f>I20/I19</f>
        <v>0.93432445346523718</v>
      </c>
    </row>
    <row r="21" spans="1:11" ht="28.5" customHeight="1">
      <c r="A21" s="975"/>
      <c r="B21" s="100" t="s">
        <v>1602</v>
      </c>
      <c r="C21" s="433">
        <v>1686.0610000000001</v>
      </c>
      <c r="D21" s="434">
        <v>1031.2456718599999</v>
      </c>
      <c r="E21" s="445">
        <f>C21/C19</f>
        <v>0.5243434592852394</v>
      </c>
      <c r="F21" s="433">
        <v>1763.35</v>
      </c>
      <c r="G21" s="434">
        <v>1250.5840000000001</v>
      </c>
      <c r="H21" s="445">
        <f>F21/F19</f>
        <v>0.52804712251974917</v>
      </c>
      <c r="I21" s="693">
        <v>1793.056</v>
      </c>
      <c r="J21" s="694">
        <v>1239.6410000000001</v>
      </c>
      <c r="K21" s="445">
        <f>I21/I19</f>
        <v>0.54432051310851648</v>
      </c>
    </row>
    <row r="22" spans="1:11" ht="30">
      <c r="A22" s="975" t="s">
        <v>1424</v>
      </c>
      <c r="B22" s="42" t="s">
        <v>127</v>
      </c>
      <c r="C22" s="433">
        <v>348.02499999999998</v>
      </c>
      <c r="D22" s="430">
        <v>212.65587664</v>
      </c>
      <c r="E22" s="445">
        <f>C22/C19</f>
        <v>0.10823133470126255</v>
      </c>
      <c r="F22" s="433">
        <v>364.33100000000002</v>
      </c>
      <c r="G22" s="430">
        <v>258.01900000000001</v>
      </c>
      <c r="H22" s="445">
        <f>F22/F19</f>
        <v>0.10910139007839779</v>
      </c>
      <c r="I22" s="693">
        <v>367.09</v>
      </c>
      <c r="J22" s="694">
        <v>250.916</v>
      </c>
      <c r="K22" s="445">
        <f>I22/I19</f>
        <v>0.11143802377449745</v>
      </c>
    </row>
    <row r="23" spans="1:11" ht="12.75" customHeight="1">
      <c r="A23" s="975"/>
      <c r="B23" s="100" t="s">
        <v>1601</v>
      </c>
      <c r="C23" s="433">
        <v>113.774</v>
      </c>
      <c r="D23" s="434">
        <v>69.584381329999999</v>
      </c>
      <c r="E23" s="445">
        <f>C23/C20</f>
        <v>3.7820295258518245E-2</v>
      </c>
      <c r="F23" s="433">
        <v>110.30500000000001</v>
      </c>
      <c r="G23" s="434">
        <v>78.272000000000006</v>
      </c>
      <c r="H23" s="445">
        <f>F23/F20</f>
        <v>3.5307746033900307E-2</v>
      </c>
      <c r="I23" s="693">
        <v>110.095</v>
      </c>
      <c r="J23" s="694">
        <v>75.974000000000004</v>
      </c>
      <c r="K23" s="445">
        <f>I23/I20</f>
        <v>3.5770970912428618E-2</v>
      </c>
    </row>
    <row r="24" spans="1:11" ht="15">
      <c r="A24" s="975"/>
      <c r="B24" s="100" t="s">
        <v>1602</v>
      </c>
      <c r="C24" s="433">
        <v>234.25099999999998</v>
      </c>
      <c r="D24" s="434">
        <v>143.07149530999999</v>
      </c>
      <c r="E24" s="445">
        <f>C24/C21</f>
        <v>0.13893388198884854</v>
      </c>
      <c r="F24" s="433">
        <v>254.02600000000001</v>
      </c>
      <c r="G24" s="434">
        <v>179.74700000000001</v>
      </c>
      <c r="H24" s="445">
        <f>F24/F21</f>
        <v>0.14405875180763889</v>
      </c>
      <c r="I24" s="693">
        <v>256.995</v>
      </c>
      <c r="J24" s="694">
        <v>174.94200000000001</v>
      </c>
      <c r="K24" s="445">
        <f>I24/I21</f>
        <v>0.1433279272928453</v>
      </c>
    </row>
    <row r="25" spans="1:11" ht="30">
      <c r="A25" s="975" t="s">
        <v>1423</v>
      </c>
      <c r="B25" s="42" t="s">
        <v>127</v>
      </c>
      <c r="C25" s="433">
        <v>-0.3550000000000022</v>
      </c>
      <c r="D25" s="430">
        <v>0.85929713999999802</v>
      </c>
      <c r="E25" s="445">
        <f>C25/C19</f>
        <v>-1.1040047071028934E-4</v>
      </c>
      <c r="F25" s="433">
        <v>-7.9980000000000002</v>
      </c>
      <c r="G25" s="430">
        <v>-5.827</v>
      </c>
      <c r="H25" s="445">
        <f>F25/F19</f>
        <v>-2.3950553695596187E-3</v>
      </c>
      <c r="I25" s="693">
        <v>-23.553999999999998</v>
      </c>
      <c r="J25" s="695">
        <v>-17.652999999999999</v>
      </c>
      <c r="K25" s="445">
        <f>I25/I19</f>
        <v>-7.150320662465643E-3</v>
      </c>
    </row>
    <row r="26" spans="1:11" ht="12.75" customHeight="1">
      <c r="A26" s="975"/>
      <c r="B26" s="100" t="s">
        <v>1601</v>
      </c>
      <c r="C26" s="433">
        <v>-61.552999999999997</v>
      </c>
      <c r="D26" s="434">
        <v>-37.742865779999995</v>
      </c>
      <c r="E26" s="445">
        <f>C26/C20</f>
        <v>-2.0461200573484044E-2</v>
      </c>
      <c r="F26" s="433">
        <v>-57.29</v>
      </c>
      <c r="G26" s="434">
        <v>-40.543999999999997</v>
      </c>
      <c r="H26" s="445">
        <f>F26/F20</f>
        <v>-1.8338069627688212E-2</v>
      </c>
      <c r="I26" s="693">
        <v>-46.338999999999999</v>
      </c>
      <c r="J26" s="694">
        <v>-30.335999999999999</v>
      </c>
      <c r="K26" s="445">
        <f>I26/I20</f>
        <v>-1.5056006368236794E-2</v>
      </c>
    </row>
    <row r="27" spans="1:11" ht="15.75" thickBot="1">
      <c r="A27" s="975"/>
      <c r="B27" s="100" t="s">
        <v>1602</v>
      </c>
      <c r="C27" s="441">
        <v>61.198</v>
      </c>
      <c r="D27" s="442">
        <v>38.602162920000005</v>
      </c>
      <c r="E27" s="446">
        <f>C27/C21</f>
        <v>3.6296432928583248E-2</v>
      </c>
      <c r="F27" s="441">
        <v>49.292000000000002</v>
      </c>
      <c r="G27" s="442">
        <v>34.716999999999999</v>
      </c>
      <c r="H27" s="446">
        <f>F27/F21</f>
        <v>2.7953611024470471E-2</v>
      </c>
      <c r="I27" s="696">
        <v>22.785</v>
      </c>
      <c r="J27" s="697">
        <v>12.683</v>
      </c>
      <c r="K27" s="446">
        <f>I27/I21</f>
        <v>1.2707355486945193E-2</v>
      </c>
    </row>
    <row r="28" spans="1:11" ht="15">
      <c r="A28" s="81"/>
      <c r="B28" s="40"/>
      <c r="C28" s="40"/>
      <c r="D28" s="40"/>
      <c r="E28" s="40"/>
      <c r="F28" s="40"/>
      <c r="G28" s="40"/>
      <c r="H28" s="40"/>
      <c r="I28" s="40"/>
      <c r="J28" s="40"/>
      <c r="K28" s="40"/>
    </row>
    <row r="29" spans="1:11" ht="108.75" customHeight="1">
      <c r="A29" s="1241" t="s">
        <v>201</v>
      </c>
      <c r="B29" s="1241"/>
      <c r="C29" s="1241"/>
      <c r="D29" s="1241"/>
      <c r="E29" s="1241"/>
      <c r="F29" s="1241"/>
      <c r="G29" s="1241"/>
      <c r="H29" s="1241"/>
      <c r="I29" s="1241"/>
      <c r="J29" s="1241"/>
      <c r="K29" s="1241"/>
    </row>
    <row r="30" spans="1:11">
      <c r="A30" s="186"/>
      <c r="B30" s="186"/>
      <c r="C30" s="186"/>
      <c r="D30" s="186"/>
      <c r="E30" s="186"/>
      <c r="F30" s="186"/>
      <c r="G30" s="186"/>
      <c r="H30" s="186"/>
      <c r="I30" s="186"/>
      <c r="J30" s="186"/>
      <c r="K30" s="186"/>
    </row>
    <row r="31" spans="1:11" ht="31.5" customHeight="1">
      <c r="A31" s="1241" t="s">
        <v>186</v>
      </c>
      <c r="B31" s="1241"/>
      <c r="C31" s="1241"/>
      <c r="D31" s="1241"/>
      <c r="E31" s="1241"/>
      <c r="F31" s="1241"/>
      <c r="G31" s="1241"/>
      <c r="H31" s="1241"/>
      <c r="I31" s="1241"/>
      <c r="J31" s="1241"/>
      <c r="K31" s="1241"/>
    </row>
    <row r="32" spans="1:11">
      <c r="A32" s="186"/>
      <c r="B32" s="186"/>
      <c r="C32" s="186"/>
      <c r="D32" s="186"/>
      <c r="E32" s="186"/>
      <c r="F32" s="186"/>
      <c r="G32" s="186"/>
      <c r="H32" s="186"/>
      <c r="I32" s="186"/>
      <c r="J32" s="186"/>
      <c r="K32" s="186"/>
    </row>
    <row r="33" spans="1:11">
      <c r="A33" s="26"/>
      <c r="B33" s="26"/>
      <c r="C33" s="26"/>
      <c r="D33" s="26"/>
      <c r="E33" s="26"/>
      <c r="F33" s="26"/>
      <c r="G33" s="26"/>
      <c r="H33" s="26"/>
      <c r="I33" s="26"/>
      <c r="J33" s="26"/>
      <c r="K33" s="26"/>
    </row>
    <row r="34" spans="1:11">
      <c r="A34" s="26"/>
      <c r="B34" s="26"/>
      <c r="C34" s="26"/>
      <c r="D34" s="26"/>
      <c r="E34" s="26"/>
      <c r="F34" s="26"/>
      <c r="G34" s="26"/>
      <c r="H34" s="26"/>
      <c r="I34" s="26"/>
      <c r="J34" s="26"/>
      <c r="K34" s="26"/>
    </row>
    <row r="35" spans="1:11">
      <c r="A35" s="26"/>
      <c r="B35" s="26"/>
      <c r="C35" s="26"/>
      <c r="D35" s="26"/>
      <c r="E35" s="26"/>
      <c r="F35" s="26"/>
      <c r="G35" s="26"/>
      <c r="H35" s="26"/>
      <c r="I35" s="26"/>
      <c r="J35" s="26"/>
      <c r="K35" s="26"/>
    </row>
    <row r="36" spans="1:11">
      <c r="A36" s="26"/>
      <c r="B36" s="26"/>
      <c r="C36" s="26"/>
      <c r="D36" s="26"/>
      <c r="E36" s="26"/>
      <c r="F36" s="26"/>
      <c r="G36" s="26"/>
      <c r="H36" s="26"/>
      <c r="I36" s="26"/>
      <c r="J36" s="26"/>
      <c r="K36" s="26"/>
    </row>
    <row r="37" spans="1:11">
      <c r="A37" s="26"/>
      <c r="B37" s="26"/>
      <c r="C37" s="26"/>
      <c r="D37" s="26"/>
      <c r="E37" s="26"/>
      <c r="F37" s="26"/>
      <c r="G37" s="26"/>
      <c r="H37" s="26"/>
      <c r="I37" s="26"/>
      <c r="J37" s="26"/>
      <c r="K37" s="26"/>
    </row>
    <row r="38" spans="1:11">
      <c r="A38" s="26"/>
      <c r="B38" s="26"/>
      <c r="C38" s="26"/>
      <c r="D38" s="26"/>
      <c r="E38" s="26"/>
      <c r="F38" s="26"/>
      <c r="G38" s="26"/>
      <c r="H38" s="26"/>
      <c r="I38" s="26"/>
      <c r="J38" s="26"/>
      <c r="K38" s="26"/>
    </row>
  </sheetData>
  <mergeCells count="18">
    <mergeCell ref="H2:K2"/>
    <mergeCell ref="I17:K17"/>
    <mergeCell ref="F17:H17"/>
    <mergeCell ref="A25:A27"/>
    <mergeCell ref="A10:A12"/>
    <mergeCell ref="C17:E17"/>
    <mergeCell ref="C5:E5"/>
    <mergeCell ref="A19:A21"/>
    <mergeCell ref="A31:K31"/>
    <mergeCell ref="F5:H5"/>
    <mergeCell ref="I5:K5"/>
    <mergeCell ref="A4:K4"/>
    <mergeCell ref="A5:B6"/>
    <mergeCell ref="A7:A9"/>
    <mergeCell ref="A17:B18"/>
    <mergeCell ref="A29:K29"/>
    <mergeCell ref="A22:A24"/>
    <mergeCell ref="A13:A15"/>
  </mergeCells>
  <phoneticPr fontId="2" type="noConversion"/>
  <pageMargins left="0.82677165354330717" right="0.15748031496062992" top="0.59055118110236227" bottom="0.62992125984251968" header="0" footer="0.19685039370078741"/>
  <pageSetup paperSize="9" scale="90" orientation="portrait" r:id="rId1"/>
  <headerFooter alignWithMargins="0"/>
</worksheet>
</file>

<file path=xl/worksheets/sheet2.xml><?xml version="1.0" encoding="utf-8"?>
<worksheet xmlns="http://schemas.openxmlformats.org/spreadsheetml/2006/main" xmlns:r="http://schemas.openxmlformats.org/officeDocument/2006/relationships">
  <sheetPr codeName="Лист2">
    <tabColor rgb="FF00B0F0"/>
  </sheetPr>
  <dimension ref="A1:M25"/>
  <sheetViews>
    <sheetView view="pageBreakPreview" zoomScale="85" zoomScaleNormal="85" zoomScaleSheetLayoutView="85" workbookViewId="0">
      <selection activeCell="K16" sqref="K16"/>
    </sheetView>
  </sheetViews>
  <sheetFormatPr defaultRowHeight="12.75"/>
  <cols>
    <col min="1" max="1" width="3.5703125" style="94" customWidth="1"/>
    <col min="2" max="2" width="12.5703125" style="94" customWidth="1"/>
    <col min="3" max="3" width="10.140625" style="94" customWidth="1"/>
    <col min="4" max="4" width="11.140625" style="94" customWidth="1"/>
    <col min="5" max="5" width="15.7109375" style="94" customWidth="1"/>
    <col min="6" max="6" width="13.28515625" style="94" customWidth="1"/>
    <col min="7" max="7" width="14.85546875" style="94" customWidth="1"/>
    <col min="8" max="8" width="13.7109375" style="94" customWidth="1"/>
    <col min="9" max="9" width="13" style="94" customWidth="1"/>
    <col min="10" max="10" width="15.5703125" style="94" customWidth="1"/>
    <col min="11" max="11" width="12.85546875" style="94" customWidth="1"/>
    <col min="12" max="12" width="12.28515625" style="94" customWidth="1"/>
    <col min="13" max="13" width="12" style="94" customWidth="1"/>
    <col min="14" max="16384" width="9.140625" style="94"/>
  </cols>
  <sheetData>
    <row r="1" spans="1:13" ht="18.75">
      <c r="A1" s="97"/>
      <c r="B1" s="97"/>
      <c r="C1" s="97"/>
      <c r="D1" s="97"/>
      <c r="E1" s="97"/>
      <c r="F1" s="97"/>
      <c r="G1" s="155"/>
      <c r="H1" s="97"/>
      <c r="I1" s="97"/>
      <c r="J1" s="97"/>
      <c r="K1" s="97"/>
      <c r="L1" s="97"/>
      <c r="M1" s="97"/>
    </row>
    <row r="2" spans="1:13" ht="15.75">
      <c r="A2" s="97"/>
      <c r="B2" s="97"/>
      <c r="C2" s="97"/>
      <c r="D2" s="97"/>
      <c r="E2" s="97"/>
      <c r="F2" s="97"/>
      <c r="G2" s="97"/>
      <c r="H2" s="97"/>
      <c r="I2" s="97"/>
      <c r="J2" s="146"/>
      <c r="K2" s="146"/>
      <c r="L2" s="959"/>
      <c r="M2" s="959"/>
    </row>
    <row r="3" spans="1:13">
      <c r="A3" s="97"/>
      <c r="B3" s="97"/>
      <c r="C3" s="97"/>
      <c r="D3" s="97"/>
      <c r="E3" s="97"/>
      <c r="F3" s="97"/>
      <c r="G3" s="97"/>
      <c r="H3" s="97"/>
      <c r="I3" s="97"/>
      <c r="J3" s="97"/>
      <c r="K3" s="97"/>
      <c r="L3" s="97"/>
      <c r="M3" s="97"/>
    </row>
    <row r="4" spans="1:13" ht="20.25" customHeight="1">
      <c r="A4" s="960" t="s">
        <v>52</v>
      </c>
      <c r="B4" s="960"/>
      <c r="C4" s="960"/>
      <c r="D4" s="960"/>
      <c r="E4" s="960"/>
      <c r="F4" s="960"/>
      <c r="G4" s="960"/>
      <c r="H4" s="960"/>
      <c r="I4" s="960"/>
      <c r="J4" s="960"/>
      <c r="K4" s="960"/>
      <c r="L4" s="960"/>
      <c r="M4" s="960"/>
    </row>
    <row r="5" spans="1:13" s="95" customFormat="1" ht="114" customHeight="1">
      <c r="A5" s="147" t="s">
        <v>1531</v>
      </c>
      <c r="B5" s="147" t="s">
        <v>1638</v>
      </c>
      <c r="C5" s="147" t="s">
        <v>53</v>
      </c>
      <c r="D5" s="12" t="s">
        <v>471</v>
      </c>
      <c r="E5" s="12" t="s">
        <v>1765</v>
      </c>
      <c r="F5" s="12" t="s">
        <v>1766</v>
      </c>
      <c r="G5" s="12" t="s">
        <v>1767</v>
      </c>
      <c r="H5" s="12" t="s">
        <v>1768</v>
      </c>
      <c r="I5" s="12" t="s">
        <v>1769</v>
      </c>
      <c r="J5" s="12" t="s">
        <v>1766</v>
      </c>
      <c r="K5" s="147" t="s">
        <v>72</v>
      </c>
      <c r="L5" s="147" t="s">
        <v>1551</v>
      </c>
      <c r="M5" s="147" t="s">
        <v>1639</v>
      </c>
    </row>
    <row r="6" spans="1:13">
      <c r="A6" s="248">
        <v>1</v>
      </c>
      <c r="B6" s="249">
        <v>2</v>
      </c>
      <c r="C6" s="249">
        <v>3</v>
      </c>
      <c r="D6" s="249">
        <v>4</v>
      </c>
      <c r="E6" s="249">
        <v>5</v>
      </c>
      <c r="F6" s="249">
        <v>6</v>
      </c>
      <c r="G6" s="249">
        <v>7</v>
      </c>
      <c r="H6" s="249">
        <v>8</v>
      </c>
      <c r="I6" s="249" t="s">
        <v>84</v>
      </c>
      <c r="J6" s="249">
        <v>10</v>
      </c>
      <c r="K6" s="249">
        <v>11</v>
      </c>
      <c r="L6" s="249">
        <v>12</v>
      </c>
      <c r="M6" s="249">
        <v>13</v>
      </c>
    </row>
    <row r="7" spans="1:13" ht="18.75">
      <c r="A7" s="96"/>
      <c r="B7" s="963" t="s">
        <v>255</v>
      </c>
      <c r="C7" s="964"/>
      <c r="D7" s="964"/>
      <c r="E7" s="964"/>
      <c r="F7" s="964"/>
      <c r="G7" s="964"/>
      <c r="H7" s="964"/>
      <c r="I7" s="964"/>
      <c r="J7" s="964"/>
      <c r="K7" s="964"/>
      <c r="L7" s="965"/>
      <c r="M7" s="11"/>
    </row>
    <row r="8" spans="1:13">
      <c r="A8" s="96"/>
      <c r="B8" s="11"/>
      <c r="C8" s="11"/>
      <c r="D8" s="11"/>
      <c r="E8" s="11"/>
      <c r="F8" s="11"/>
      <c r="G8" s="11"/>
      <c r="H8" s="11"/>
      <c r="I8" s="11"/>
      <c r="J8" s="11"/>
      <c r="K8" s="11"/>
      <c r="L8" s="11"/>
      <c r="M8" s="11"/>
    </row>
    <row r="9" spans="1:13">
      <c r="A9" s="96"/>
      <c r="B9" s="11"/>
      <c r="C9" s="11"/>
      <c r="D9" s="11"/>
      <c r="E9" s="11"/>
      <c r="F9" s="11"/>
      <c r="G9" s="11"/>
      <c r="H9" s="11"/>
      <c r="I9" s="11"/>
      <c r="J9" s="11"/>
      <c r="K9" s="11"/>
      <c r="L9" s="11"/>
      <c r="M9" s="11"/>
    </row>
    <row r="10" spans="1:13">
      <c r="A10" s="96"/>
      <c r="B10" s="96"/>
      <c r="C10" s="96"/>
      <c r="D10" s="96"/>
      <c r="E10" s="96"/>
      <c r="F10" s="96"/>
      <c r="G10" s="96"/>
      <c r="H10" s="96"/>
      <c r="I10" s="96"/>
      <c r="J10" s="96"/>
      <c r="K10" s="96"/>
      <c r="L10" s="96"/>
      <c r="M10" s="96"/>
    </row>
    <row r="11" spans="1:13" s="31" customFormat="1" ht="14.25" customHeight="1">
      <c r="A11" s="961" t="s">
        <v>14</v>
      </c>
      <c r="B11" s="962"/>
      <c r="C11" s="246" t="s">
        <v>75</v>
      </c>
      <c r="D11" s="247"/>
      <c r="E11" s="247"/>
      <c r="F11" s="247"/>
      <c r="G11" s="247"/>
      <c r="H11" s="247"/>
      <c r="I11" s="247"/>
      <c r="J11" s="247"/>
      <c r="K11" s="246" t="s">
        <v>75</v>
      </c>
      <c r="L11" s="246" t="s">
        <v>75</v>
      </c>
      <c r="M11" s="246" t="s">
        <v>75</v>
      </c>
    </row>
    <row r="12" spans="1:13">
      <c r="A12" s="97"/>
      <c r="B12" s="97"/>
      <c r="C12" s="97"/>
      <c r="D12" s="97"/>
      <c r="E12" s="97"/>
      <c r="F12" s="97"/>
      <c r="G12" s="97"/>
      <c r="H12" s="97"/>
      <c r="I12" s="97"/>
      <c r="J12" s="97"/>
      <c r="K12" s="97"/>
      <c r="L12" s="97"/>
      <c r="M12" s="97"/>
    </row>
    <row r="13" spans="1:13">
      <c r="A13" s="97"/>
      <c r="B13" s="97"/>
      <c r="C13" s="97"/>
      <c r="D13" s="97"/>
      <c r="E13" s="97"/>
      <c r="F13" s="97"/>
      <c r="G13" s="97"/>
      <c r="H13" s="97"/>
      <c r="I13" s="97"/>
      <c r="J13" s="97"/>
      <c r="K13" s="97"/>
      <c r="L13" s="97"/>
      <c r="M13" s="97"/>
    </row>
    <row r="14" spans="1:13" ht="15">
      <c r="A14" s="97"/>
      <c r="B14" s="211" t="s">
        <v>248</v>
      </c>
      <c r="C14" s="212"/>
      <c r="D14" s="212"/>
      <c r="E14" s="212"/>
      <c r="F14" s="213"/>
      <c r="G14" s="212"/>
      <c r="H14" s="958" t="s">
        <v>249</v>
      </c>
      <c r="I14" s="958"/>
      <c r="J14" s="958"/>
      <c r="K14" s="97"/>
      <c r="L14" s="97"/>
      <c r="M14" s="97"/>
    </row>
    <row r="15" spans="1:13" ht="15">
      <c r="A15" s="97"/>
      <c r="B15" s="214" t="s">
        <v>250</v>
      </c>
      <c r="C15" s="212"/>
      <c r="D15" s="212"/>
      <c r="E15" s="212"/>
      <c r="F15" s="212"/>
      <c r="G15" s="212"/>
      <c r="H15" s="957" t="s">
        <v>143</v>
      </c>
      <c r="I15" s="957"/>
      <c r="J15" s="957"/>
      <c r="K15" s="97"/>
      <c r="L15" s="97"/>
      <c r="M15" s="97"/>
    </row>
    <row r="16" spans="1:13" ht="15">
      <c r="A16" s="97"/>
      <c r="B16" s="214"/>
      <c r="C16" s="212"/>
      <c r="D16" s="212"/>
      <c r="E16" s="212"/>
      <c r="F16" s="212"/>
      <c r="G16" s="212"/>
      <c r="H16" s="212"/>
      <c r="I16" s="212"/>
      <c r="J16" s="212"/>
      <c r="K16" s="97"/>
      <c r="L16" s="97"/>
      <c r="M16" s="97"/>
    </row>
    <row r="17" spans="1:13" ht="15">
      <c r="A17" s="97"/>
      <c r="B17" s="215" t="s">
        <v>1763</v>
      </c>
      <c r="C17" s="212"/>
      <c r="D17" s="212"/>
      <c r="E17" s="212"/>
      <c r="F17" s="212"/>
      <c r="G17" s="212"/>
      <c r="H17" s="212"/>
      <c r="I17" s="212"/>
      <c r="J17" s="212"/>
      <c r="K17" s="97"/>
      <c r="L17" s="97"/>
      <c r="M17" s="97"/>
    </row>
    <row r="18" spans="1:13" ht="15">
      <c r="A18" s="97"/>
      <c r="B18" s="216" t="s">
        <v>12</v>
      </c>
      <c r="C18" s="217"/>
      <c r="D18" s="217"/>
      <c r="E18" s="217"/>
      <c r="F18" s="217"/>
      <c r="G18" s="217"/>
      <c r="H18" s="217"/>
      <c r="I18" s="218"/>
      <c r="J18" s="218"/>
      <c r="K18" s="97"/>
      <c r="L18" s="97"/>
      <c r="M18" s="97"/>
    </row>
    <row r="19" spans="1:13">
      <c r="A19" s="97"/>
      <c r="B19" s="97"/>
      <c r="C19" s="97"/>
      <c r="D19" s="97"/>
      <c r="E19" s="97"/>
      <c r="F19" s="97"/>
      <c r="G19" s="97"/>
      <c r="H19" s="97"/>
      <c r="I19" s="97"/>
      <c r="J19" s="97"/>
      <c r="K19" s="97"/>
      <c r="L19" s="97"/>
      <c r="M19" s="97"/>
    </row>
    <row r="20" spans="1:13">
      <c r="A20" s="97"/>
      <c r="B20" s="97"/>
      <c r="C20" s="97"/>
      <c r="D20" s="97"/>
      <c r="E20" s="97"/>
      <c r="F20" s="97"/>
      <c r="G20" s="97"/>
      <c r="H20" s="97"/>
      <c r="I20" s="97"/>
      <c r="J20" s="97"/>
      <c r="K20" s="97"/>
      <c r="L20" s="97"/>
      <c r="M20" s="97"/>
    </row>
    <row r="21" spans="1:13" ht="15">
      <c r="B21" s="211" t="s">
        <v>251</v>
      </c>
      <c r="C21" s="212"/>
      <c r="D21" s="212"/>
      <c r="E21" s="212"/>
      <c r="F21" s="213"/>
      <c r="G21" s="212"/>
      <c r="H21" s="958" t="s">
        <v>284</v>
      </c>
      <c r="I21" s="958"/>
      <c r="J21" s="958"/>
    </row>
    <row r="22" spans="1:13" ht="15">
      <c r="B22" s="214" t="s">
        <v>250</v>
      </c>
      <c r="C22" s="212"/>
      <c r="D22" s="212"/>
      <c r="E22" s="212"/>
      <c r="F22" s="212"/>
      <c r="G22" s="212"/>
      <c r="H22" s="957" t="s">
        <v>143</v>
      </c>
      <c r="I22" s="957"/>
      <c r="J22" s="957"/>
    </row>
    <row r="23" spans="1:13" ht="15">
      <c r="B23" s="214"/>
      <c r="C23" s="212"/>
      <c r="D23" s="212"/>
      <c r="E23" s="212"/>
      <c r="F23" s="212"/>
      <c r="G23" s="212"/>
      <c r="H23" s="212"/>
      <c r="I23" s="212"/>
      <c r="J23" s="212"/>
    </row>
    <row r="24" spans="1:13" ht="15">
      <c r="B24" s="215" t="s">
        <v>1764</v>
      </c>
      <c r="C24" s="212"/>
      <c r="D24" s="212"/>
      <c r="E24" s="212"/>
      <c r="F24" s="212"/>
      <c r="G24" s="212"/>
      <c r="H24" s="212"/>
      <c r="I24" s="212"/>
      <c r="J24" s="212"/>
    </row>
    <row r="25" spans="1:13" ht="15">
      <c r="B25" s="216" t="s">
        <v>12</v>
      </c>
      <c r="C25" s="217"/>
      <c r="D25" s="217"/>
      <c r="E25" s="217"/>
      <c r="F25" s="217"/>
      <c r="G25" s="217"/>
      <c r="H25" s="217"/>
      <c r="I25" s="218"/>
      <c r="J25" s="218"/>
    </row>
  </sheetData>
  <mergeCells count="8">
    <mergeCell ref="H15:J15"/>
    <mergeCell ref="H21:J21"/>
    <mergeCell ref="H22:J22"/>
    <mergeCell ref="L2:M2"/>
    <mergeCell ref="A4:M4"/>
    <mergeCell ref="A11:B11"/>
    <mergeCell ref="H14:J14"/>
    <mergeCell ref="B7:L7"/>
  </mergeCells>
  <phoneticPr fontId="2" type="noConversion"/>
  <pageMargins left="0.35433070866141736" right="0.31496062992125984" top="0.78740157480314965" bottom="0.98425196850393704" header="0.31496062992125984" footer="0.51181102362204722"/>
  <pageSetup paperSize="9" scale="87" orientation="landscape" r:id="rId1"/>
  <headerFooter alignWithMargins="0"/>
</worksheet>
</file>

<file path=xl/worksheets/sheet20.xml><?xml version="1.0" encoding="utf-8"?>
<worksheet xmlns="http://schemas.openxmlformats.org/spreadsheetml/2006/main" xmlns:r="http://schemas.openxmlformats.org/officeDocument/2006/relationships">
  <sheetPr codeName="Лист20">
    <tabColor rgb="FF00B0F0"/>
    <pageSetUpPr fitToPage="1"/>
  </sheetPr>
  <dimension ref="A1:K55"/>
  <sheetViews>
    <sheetView view="pageBreakPreview" zoomScale="55" zoomScaleNormal="70" zoomScaleSheetLayoutView="55" workbookViewId="0">
      <selection activeCell="I14" sqref="I14"/>
    </sheetView>
  </sheetViews>
  <sheetFormatPr defaultRowHeight="12.75"/>
  <cols>
    <col min="1" max="1" width="4.28515625" style="132" customWidth="1"/>
    <col min="2" max="2" width="36.5703125" style="132" customWidth="1"/>
    <col min="3" max="3" width="17.140625" style="132" customWidth="1"/>
    <col min="4" max="4" width="17" style="132" customWidth="1"/>
    <col min="5" max="6" width="17.28515625" style="132" customWidth="1"/>
    <col min="7" max="7" width="15.7109375" style="132" customWidth="1"/>
    <col min="8" max="16384" width="9.140625" style="132"/>
  </cols>
  <sheetData>
    <row r="1" spans="1:11" s="94" customFormat="1" ht="18" customHeight="1">
      <c r="A1" s="97"/>
      <c r="B1" s="97"/>
      <c r="C1" s="97"/>
      <c r="D1" s="187"/>
      <c r="E1" s="97"/>
      <c r="F1" s="97"/>
      <c r="G1" s="97"/>
      <c r="H1" s="97"/>
    </row>
    <row r="2" spans="1:11" s="94" customFormat="1" ht="19.5">
      <c r="A2" s="97"/>
      <c r="B2" s="97"/>
      <c r="C2" s="97"/>
      <c r="D2" s="97"/>
      <c r="E2" s="97"/>
      <c r="F2" s="1258"/>
      <c r="G2" s="1258"/>
      <c r="H2" s="146"/>
      <c r="I2" s="146"/>
      <c r="J2" s="34"/>
      <c r="K2" s="32"/>
    </row>
    <row r="3" spans="1:11" s="20" customFormat="1" ht="18.75" customHeight="1">
      <c r="A3" s="1259" t="s">
        <v>673</v>
      </c>
      <c r="B3" s="1260"/>
      <c r="C3" s="1260"/>
      <c r="D3" s="1260"/>
      <c r="E3" s="1260"/>
      <c r="F3" s="1260"/>
      <c r="G3" s="1261"/>
      <c r="H3" s="127"/>
    </row>
    <row r="4" spans="1:11" s="20" customFormat="1" ht="20.25" customHeight="1">
      <c r="A4" s="1262" t="s">
        <v>1614</v>
      </c>
      <c r="B4" s="1263"/>
      <c r="C4" s="1263"/>
      <c r="D4" s="1263"/>
      <c r="E4" s="1263"/>
      <c r="F4" s="1263"/>
      <c r="G4" s="1264"/>
      <c r="H4" s="127"/>
    </row>
    <row r="5" spans="1:11" s="20" customFormat="1" ht="15" customHeight="1">
      <c r="A5" s="1182" t="s">
        <v>1531</v>
      </c>
      <c r="B5" s="1182" t="s">
        <v>71</v>
      </c>
      <c r="C5" s="1202" t="s">
        <v>128</v>
      </c>
      <c r="D5" s="1265"/>
      <c r="E5" s="1265"/>
      <c r="F5" s="1265"/>
      <c r="G5" s="1266"/>
      <c r="H5" s="82"/>
    </row>
    <row r="6" spans="1:11" s="20" customFormat="1" ht="13.5" customHeight="1">
      <c r="A6" s="1183"/>
      <c r="B6" s="1183"/>
      <c r="C6" s="412">
        <v>2009</v>
      </c>
      <c r="D6" s="412">
        <v>2010</v>
      </c>
      <c r="E6" s="412">
        <v>2011</v>
      </c>
      <c r="F6" s="412">
        <v>2012</v>
      </c>
      <c r="G6" s="412">
        <v>2013</v>
      </c>
      <c r="H6" s="82"/>
    </row>
    <row r="7" spans="1:11" s="20" customFormat="1" ht="37.5" customHeight="1">
      <c r="A7" s="37">
        <v>1</v>
      </c>
      <c r="B7" s="44" t="s">
        <v>126</v>
      </c>
      <c r="C7" s="413">
        <v>20100</v>
      </c>
      <c r="D7" s="413">
        <v>20100</v>
      </c>
      <c r="E7" s="413">
        <v>20100</v>
      </c>
      <c r="F7" s="413">
        <v>20100</v>
      </c>
      <c r="G7" s="413">
        <v>20100</v>
      </c>
      <c r="H7" s="82"/>
    </row>
    <row r="8" spans="1:11" s="20" customFormat="1" ht="30">
      <c r="A8" s="1182">
        <v>2</v>
      </c>
      <c r="B8" s="44" t="s">
        <v>1615</v>
      </c>
      <c r="C8" s="403">
        <v>403984</v>
      </c>
      <c r="D8" s="403">
        <v>406255</v>
      </c>
      <c r="E8" s="403">
        <v>411433</v>
      </c>
      <c r="F8" s="403">
        <v>413638</v>
      </c>
      <c r="G8" s="299">
        <v>414034</v>
      </c>
      <c r="H8" s="82"/>
    </row>
    <row r="9" spans="1:11" s="20" customFormat="1" ht="19.5" customHeight="1">
      <c r="A9" s="1257"/>
      <c r="B9" s="86" t="s">
        <v>32</v>
      </c>
      <c r="C9" s="403">
        <v>403802</v>
      </c>
      <c r="D9" s="403">
        <v>406061</v>
      </c>
      <c r="E9" s="403">
        <v>411260</v>
      </c>
      <c r="F9" s="403">
        <v>413497</v>
      </c>
      <c r="G9" s="299">
        <v>413943</v>
      </c>
      <c r="H9" s="82"/>
    </row>
    <row r="10" spans="1:11" s="20" customFormat="1" ht="15">
      <c r="A10" s="1183"/>
      <c r="B10" s="83" t="s">
        <v>1616</v>
      </c>
      <c r="C10" s="403">
        <v>393609</v>
      </c>
      <c r="D10" s="403">
        <v>396169</v>
      </c>
      <c r="E10" s="403">
        <v>398533</v>
      </c>
      <c r="F10" s="403">
        <v>400391</v>
      </c>
      <c r="G10" s="299">
        <v>400696</v>
      </c>
      <c r="H10" s="82"/>
    </row>
    <row r="11" spans="1:11" s="20" customFormat="1" ht="30">
      <c r="A11" s="1182">
        <v>3</v>
      </c>
      <c r="B11" s="44" t="s">
        <v>1430</v>
      </c>
      <c r="C11" s="414">
        <f>SUM(C17,C12)</f>
        <v>27059.050000000003</v>
      </c>
      <c r="D11" s="414">
        <f>SUM(D12,D17)</f>
        <v>26871.710000000003</v>
      </c>
      <c r="E11" s="414">
        <f>SUM(E12,E17)</f>
        <v>26927.360000000001</v>
      </c>
      <c r="F11" s="414">
        <f>SUM(F12,F17)</f>
        <v>26965.969999999998</v>
      </c>
      <c r="G11" s="414">
        <f>SUM(G12,G17)</f>
        <v>26965.969999999998</v>
      </c>
      <c r="H11" s="82"/>
    </row>
    <row r="12" spans="1:11" s="20" customFormat="1" ht="14.45" customHeight="1">
      <c r="A12" s="1257"/>
      <c r="B12" s="86" t="s">
        <v>1617</v>
      </c>
      <c r="C12" s="415">
        <f>SUM(C13:C16)</f>
        <v>25650.15</v>
      </c>
      <c r="D12" s="415">
        <f>SUM(D13:D16)</f>
        <v>25465.940000000002</v>
      </c>
      <c r="E12" s="415">
        <f>SUM(E13:E16)</f>
        <v>25617.89</v>
      </c>
      <c r="F12" s="415">
        <f>SUM(F13:F16)</f>
        <v>25648.78</v>
      </c>
      <c r="G12" s="415">
        <f>SUM(G13:G16)</f>
        <v>25648.78</v>
      </c>
      <c r="H12" s="82"/>
    </row>
    <row r="13" spans="1:11" s="20" customFormat="1" ht="14.45" customHeight="1">
      <c r="A13" s="1257"/>
      <c r="B13" s="83" t="s">
        <v>1552</v>
      </c>
      <c r="C13" s="416">
        <v>1264.2</v>
      </c>
      <c r="D13" s="416">
        <v>1264.2</v>
      </c>
      <c r="E13" s="416">
        <v>1264.2</v>
      </c>
      <c r="F13" s="416">
        <v>1264.2</v>
      </c>
      <c r="G13" s="416">
        <v>1264.2</v>
      </c>
      <c r="H13" s="82"/>
    </row>
    <row r="14" spans="1:11" s="20" customFormat="1" ht="14.45" customHeight="1">
      <c r="A14" s="1257"/>
      <c r="B14" s="83" t="s">
        <v>1618</v>
      </c>
      <c r="C14" s="416">
        <v>1502.3</v>
      </c>
      <c r="D14" s="416">
        <v>1500.5</v>
      </c>
      <c r="E14" s="416">
        <v>1500.5</v>
      </c>
      <c r="F14" s="416">
        <v>1500.55</v>
      </c>
      <c r="G14" s="416">
        <v>1500.55</v>
      </c>
      <c r="H14" s="82"/>
      <c r="J14" s="21"/>
      <c r="K14" s="21"/>
    </row>
    <row r="15" spans="1:11" s="20" customFormat="1" ht="14.45" customHeight="1">
      <c r="A15" s="1257"/>
      <c r="B15" s="83" t="s">
        <v>1619</v>
      </c>
      <c r="C15" s="416">
        <v>9334.5</v>
      </c>
      <c r="D15" s="416">
        <v>9303.16</v>
      </c>
      <c r="E15" s="416">
        <v>9371</v>
      </c>
      <c r="F15" s="416">
        <v>9372.9</v>
      </c>
      <c r="G15" s="416">
        <v>9372.9</v>
      </c>
      <c r="H15" s="82"/>
    </row>
    <row r="16" spans="1:11" s="20" customFormat="1" ht="14.45" customHeight="1">
      <c r="A16" s="1257"/>
      <c r="B16" s="83" t="s">
        <v>130</v>
      </c>
      <c r="C16" s="416">
        <v>13549.15</v>
      </c>
      <c r="D16" s="416">
        <v>13398.08</v>
      </c>
      <c r="E16" s="416">
        <v>13482.19</v>
      </c>
      <c r="F16" s="416">
        <v>13511.13</v>
      </c>
      <c r="G16" s="416">
        <v>13511.13</v>
      </c>
      <c r="H16" s="85"/>
      <c r="I16" s="21"/>
      <c r="J16" s="21"/>
    </row>
    <row r="17" spans="1:8" s="20" customFormat="1" ht="14.45" customHeight="1">
      <c r="A17" s="1257"/>
      <c r="B17" s="86" t="s">
        <v>1620</v>
      </c>
      <c r="C17" s="415">
        <f>SUM(C18:C21)</f>
        <v>1408.9</v>
      </c>
      <c r="D17" s="415">
        <f>SUM(D18:D21)</f>
        <v>1405.77</v>
      </c>
      <c r="E17" s="415">
        <f>SUM(E18:E21)</f>
        <v>1309.47</v>
      </c>
      <c r="F17" s="415">
        <f>SUM(F18:F21)</f>
        <v>1317.19</v>
      </c>
      <c r="G17" s="415">
        <f>SUM(G18:G21)</f>
        <v>1317.19</v>
      </c>
      <c r="H17" s="82"/>
    </row>
    <row r="18" spans="1:8" s="20" customFormat="1" ht="14.45" customHeight="1">
      <c r="A18" s="1257"/>
      <c r="B18" s="83" t="s">
        <v>1552</v>
      </c>
      <c r="C18" s="413"/>
      <c r="D18" s="413"/>
      <c r="E18" s="413"/>
      <c r="F18" s="413"/>
      <c r="G18" s="413"/>
      <c r="H18" s="82"/>
    </row>
    <row r="19" spans="1:8" s="20" customFormat="1" ht="14.45" customHeight="1">
      <c r="A19" s="1257"/>
      <c r="B19" s="83" t="s">
        <v>1618</v>
      </c>
      <c r="C19" s="413"/>
      <c r="D19" s="413">
        <v>2.2999999999999998</v>
      </c>
      <c r="E19" s="413">
        <v>2.2999999999999998</v>
      </c>
      <c r="F19" s="413">
        <v>2.2999999999999998</v>
      </c>
      <c r="G19" s="413">
        <v>2.2999999999999998</v>
      </c>
      <c r="H19" s="82"/>
    </row>
    <row r="20" spans="1:8" s="20" customFormat="1" ht="14.45" customHeight="1">
      <c r="A20" s="1257"/>
      <c r="B20" s="83" t="s">
        <v>1619</v>
      </c>
      <c r="C20" s="416">
        <v>922.6</v>
      </c>
      <c r="D20" s="416">
        <v>919.04</v>
      </c>
      <c r="E20" s="416">
        <v>885.37</v>
      </c>
      <c r="F20" s="416">
        <v>891.64</v>
      </c>
      <c r="G20" s="416">
        <v>891.64</v>
      </c>
      <c r="H20" s="82"/>
    </row>
    <row r="21" spans="1:8" s="20" customFormat="1" ht="14.45" customHeight="1">
      <c r="A21" s="1183"/>
      <c r="B21" s="83" t="s">
        <v>130</v>
      </c>
      <c r="C21" s="416">
        <v>486.3</v>
      </c>
      <c r="D21" s="416">
        <v>484.43</v>
      </c>
      <c r="E21" s="416">
        <v>421.8</v>
      </c>
      <c r="F21" s="416">
        <v>423.25</v>
      </c>
      <c r="G21" s="416">
        <v>423.25</v>
      </c>
      <c r="H21" s="82"/>
    </row>
    <row r="22" spans="1:8" s="20" customFormat="1" ht="28.5" customHeight="1">
      <c r="A22" s="1182">
        <v>4</v>
      </c>
      <c r="B22" s="44" t="s">
        <v>1628</v>
      </c>
      <c r="C22" s="414">
        <f>SUM(C23:C25)</f>
        <v>2437.5</v>
      </c>
      <c r="D22" s="414">
        <f>SUM(D23:D25)</f>
        <v>2416.8199999999997</v>
      </c>
      <c r="E22" s="414">
        <f>SUM(E23:E25)</f>
        <v>2322.48</v>
      </c>
      <c r="F22" s="414">
        <f>SUM(F23:F25)</f>
        <v>2323.7690000000002</v>
      </c>
      <c r="G22" s="414">
        <f>SUM(G23:G25)</f>
        <v>2323.7690000000002</v>
      </c>
      <c r="H22" s="82"/>
    </row>
    <row r="23" spans="1:8" s="20" customFormat="1" ht="14.45" customHeight="1">
      <c r="A23" s="1257"/>
      <c r="B23" s="83" t="s">
        <v>1552</v>
      </c>
      <c r="C23" s="416">
        <v>809.3</v>
      </c>
      <c r="D23" s="416">
        <v>784.6</v>
      </c>
      <c r="E23" s="416">
        <v>784.6</v>
      </c>
      <c r="F23" s="416">
        <v>784.6</v>
      </c>
      <c r="G23" s="416">
        <v>784.6</v>
      </c>
      <c r="H23" s="82"/>
    </row>
    <row r="24" spans="1:8" s="20" customFormat="1" ht="14.45" customHeight="1">
      <c r="A24" s="1257"/>
      <c r="B24" s="83" t="s">
        <v>1618</v>
      </c>
      <c r="C24" s="416">
        <v>418.3</v>
      </c>
      <c r="D24" s="416">
        <v>421.4</v>
      </c>
      <c r="E24" s="416">
        <v>422</v>
      </c>
      <c r="F24" s="416">
        <v>422</v>
      </c>
      <c r="G24" s="416">
        <v>422</v>
      </c>
      <c r="H24" s="82"/>
    </row>
    <row r="25" spans="1:8" s="20" customFormat="1" ht="14.45" customHeight="1">
      <c r="A25" s="1183"/>
      <c r="B25" s="83" t="s">
        <v>1619</v>
      </c>
      <c r="C25" s="416">
        <v>1209.9000000000001</v>
      </c>
      <c r="D25" s="416">
        <v>1210.82</v>
      </c>
      <c r="E25" s="416">
        <v>1115.8800000000001</v>
      </c>
      <c r="F25" s="416">
        <v>1117.1690000000001</v>
      </c>
      <c r="G25" s="416">
        <v>1117.1690000000001</v>
      </c>
      <c r="H25" s="82"/>
    </row>
    <row r="26" spans="1:8" s="20" customFormat="1" ht="30" customHeight="1">
      <c r="A26" s="1182">
        <v>5</v>
      </c>
      <c r="B26" s="44" t="s">
        <v>1431</v>
      </c>
      <c r="C26" s="403">
        <v>1585</v>
      </c>
      <c r="D26" s="403">
        <v>1554</v>
      </c>
      <c r="E26" s="403">
        <v>1554</v>
      </c>
      <c r="F26" s="403">
        <v>1575</v>
      </c>
      <c r="G26" s="299">
        <v>1584</v>
      </c>
      <c r="H26" s="82"/>
    </row>
    <row r="27" spans="1:8" s="20" customFormat="1" ht="17.25" customHeight="1">
      <c r="A27" s="1183"/>
      <c r="B27" s="86" t="s">
        <v>33</v>
      </c>
      <c r="C27" s="403">
        <v>1272</v>
      </c>
      <c r="D27" s="403">
        <v>1192</v>
      </c>
      <c r="E27" s="403">
        <v>1249</v>
      </c>
      <c r="F27" s="403">
        <v>1281</v>
      </c>
      <c r="G27" s="299">
        <v>1279</v>
      </c>
      <c r="H27" s="82"/>
    </row>
    <row r="28" spans="1:8" s="20" customFormat="1" ht="20.25" customHeight="1">
      <c r="A28" s="37">
        <v>6</v>
      </c>
      <c r="B28" s="44" t="s">
        <v>1621</v>
      </c>
      <c r="C28" s="417">
        <v>1894</v>
      </c>
      <c r="D28" s="417">
        <v>1894</v>
      </c>
      <c r="E28" s="417">
        <v>1894</v>
      </c>
      <c r="F28" s="417">
        <v>1894</v>
      </c>
      <c r="G28" s="417">
        <v>1894</v>
      </c>
      <c r="H28" s="82"/>
    </row>
    <row r="29" spans="1:8" s="20" customFormat="1" ht="31.5" customHeight="1">
      <c r="A29" s="37">
        <v>7</v>
      </c>
      <c r="B29" s="44" t="s">
        <v>1691</v>
      </c>
      <c r="C29" s="403">
        <v>2429</v>
      </c>
      <c r="D29" s="403">
        <v>2799</v>
      </c>
      <c r="E29" s="403">
        <v>3415</v>
      </c>
      <c r="F29" s="403">
        <v>4047</v>
      </c>
      <c r="G29" s="299">
        <v>4431</v>
      </c>
      <c r="H29" s="82"/>
    </row>
    <row r="30" spans="1:8" s="20" customFormat="1" ht="34.5" customHeight="1">
      <c r="A30" s="1182">
        <v>8</v>
      </c>
      <c r="B30" s="44" t="s">
        <v>1470</v>
      </c>
      <c r="C30" s="414"/>
      <c r="D30" s="414"/>
      <c r="E30" s="414"/>
      <c r="F30" s="414"/>
      <c r="G30" s="414"/>
      <c r="H30" s="82"/>
    </row>
    <row r="31" spans="1:8" s="20" customFormat="1" ht="15">
      <c r="A31" s="1257"/>
      <c r="B31" s="86" t="s">
        <v>1622</v>
      </c>
      <c r="C31" s="403">
        <f>658.858+C36</f>
        <v>1951.923</v>
      </c>
      <c r="D31" s="403">
        <f>638.39+D36</f>
        <v>2214.9189999999999</v>
      </c>
      <c r="E31" s="403">
        <f>1032.982+E36</f>
        <v>2308.6130000000003</v>
      </c>
      <c r="F31" s="403">
        <f>721.751+F36</f>
        <v>2149.3940000000002</v>
      </c>
      <c r="G31" s="403">
        <f>167.365+G36</f>
        <v>520.90800000000002</v>
      </c>
      <c r="H31" s="82"/>
    </row>
    <row r="32" spans="1:8" s="20" customFormat="1" ht="15">
      <c r="A32" s="1183"/>
      <c r="B32" s="86" t="s">
        <v>1623</v>
      </c>
      <c r="C32" s="403">
        <f>624.572+C37</f>
        <v>1903.3740000000003</v>
      </c>
      <c r="D32" s="403">
        <f>687.179+D37</f>
        <v>2337.9609999999998</v>
      </c>
      <c r="E32" s="403">
        <f>1045.678+E37</f>
        <v>2419.0460000000003</v>
      </c>
      <c r="F32" s="403">
        <f>769.051+F37</f>
        <v>2194.3090000000002</v>
      </c>
      <c r="G32" s="403">
        <f>180.949+G37</f>
        <v>606.66100000000006</v>
      </c>
      <c r="H32" s="82"/>
    </row>
    <row r="33" spans="1:8" s="20" customFormat="1" ht="30">
      <c r="A33" s="37">
        <v>9</v>
      </c>
      <c r="B33" s="44" t="s">
        <v>1471</v>
      </c>
      <c r="C33" s="403">
        <v>162879</v>
      </c>
      <c r="D33" s="403">
        <v>183116</v>
      </c>
      <c r="E33" s="403">
        <v>192664</v>
      </c>
      <c r="F33" s="403">
        <v>213358</v>
      </c>
      <c r="G33" s="299">
        <v>64440</v>
      </c>
      <c r="H33" s="82"/>
    </row>
    <row r="34" spans="1:8" s="20" customFormat="1" ht="32.25" customHeight="1">
      <c r="A34" s="37">
        <v>10</v>
      </c>
      <c r="B34" s="44" t="s">
        <v>1472</v>
      </c>
      <c r="C34" s="403">
        <v>155798</v>
      </c>
      <c r="D34" s="403">
        <v>136249</v>
      </c>
      <c r="E34" s="403">
        <v>165644</v>
      </c>
      <c r="F34" s="403">
        <v>179661</v>
      </c>
      <c r="G34" s="299">
        <v>47240</v>
      </c>
      <c r="H34" s="82"/>
    </row>
    <row r="35" spans="1:8" s="20" customFormat="1" ht="30.75" customHeight="1">
      <c r="A35" s="1182">
        <v>11</v>
      </c>
      <c r="B35" s="44" t="s">
        <v>1473</v>
      </c>
      <c r="C35" s="414"/>
      <c r="D35" s="414"/>
      <c r="E35" s="414"/>
      <c r="F35" s="414"/>
      <c r="G35" s="414"/>
      <c r="H35" s="82"/>
    </row>
    <row r="36" spans="1:8" s="20" customFormat="1" ht="15">
      <c r="A36" s="1257"/>
      <c r="B36" s="86" t="s">
        <v>1624</v>
      </c>
      <c r="C36" s="403">
        <v>1293.0650000000001</v>
      </c>
      <c r="D36" s="403">
        <v>1576.529</v>
      </c>
      <c r="E36" s="403">
        <v>1275.6310000000001</v>
      </c>
      <c r="F36" s="403">
        <v>1427.643</v>
      </c>
      <c r="G36" s="403">
        <v>353.54300000000001</v>
      </c>
      <c r="H36" s="82"/>
    </row>
    <row r="37" spans="1:8" s="20" customFormat="1" ht="15">
      <c r="A37" s="1183"/>
      <c r="B37" s="86" t="s">
        <v>1623</v>
      </c>
      <c r="C37" s="403">
        <v>1278.8020000000001</v>
      </c>
      <c r="D37" s="403">
        <v>1650.7819999999999</v>
      </c>
      <c r="E37" s="403">
        <v>1373.3679999999999</v>
      </c>
      <c r="F37" s="403">
        <v>1425.258</v>
      </c>
      <c r="G37" s="403">
        <v>425.71199999999999</v>
      </c>
      <c r="H37" s="82"/>
    </row>
    <row r="38" spans="1:8" s="20" customFormat="1" ht="32.25" customHeight="1">
      <c r="A38" s="37">
        <v>12</v>
      </c>
      <c r="B38" s="44" t="s">
        <v>1474</v>
      </c>
      <c r="C38" s="403">
        <v>15744</v>
      </c>
      <c r="D38" s="403">
        <v>17163</v>
      </c>
      <c r="E38" s="403">
        <v>17514</v>
      </c>
      <c r="F38" s="403">
        <v>20291</v>
      </c>
      <c r="G38" s="299">
        <v>6579</v>
      </c>
      <c r="H38" s="82"/>
    </row>
    <row r="39" spans="1:8" s="20" customFormat="1" ht="30.75" customHeight="1">
      <c r="A39" s="37">
        <v>13</v>
      </c>
      <c r="B39" s="44" t="s">
        <v>1475</v>
      </c>
      <c r="C39" s="403">
        <v>17867</v>
      </c>
      <c r="D39" s="403">
        <v>18279</v>
      </c>
      <c r="E39" s="403">
        <v>21930</v>
      </c>
      <c r="F39" s="403">
        <v>23573</v>
      </c>
      <c r="G39" s="299">
        <v>6543</v>
      </c>
      <c r="H39" s="82"/>
    </row>
    <row r="40" spans="1:8" s="20" customFormat="1" ht="15">
      <c r="A40" s="1182">
        <v>14</v>
      </c>
      <c r="B40" s="44" t="s">
        <v>1438</v>
      </c>
      <c r="C40" s="403">
        <f>C41+C42</f>
        <v>4958</v>
      </c>
      <c r="D40" s="403">
        <f>D41+D42</f>
        <v>45751</v>
      </c>
      <c r="E40" s="403">
        <f>E41+E42</f>
        <v>22604</v>
      </c>
      <c r="F40" s="403">
        <f>F41+F42</f>
        <v>30415</v>
      </c>
      <c r="G40" s="403">
        <f>G41+G42</f>
        <v>17236</v>
      </c>
      <c r="H40" s="82"/>
    </row>
    <row r="41" spans="1:8" s="20" customFormat="1" ht="15">
      <c r="A41" s="1257"/>
      <c r="B41" s="86" t="s">
        <v>1625</v>
      </c>
      <c r="C41" s="403">
        <v>7081</v>
      </c>
      <c r="D41" s="403">
        <v>46867</v>
      </c>
      <c r="E41" s="403">
        <v>27020</v>
      </c>
      <c r="F41" s="403">
        <v>33697</v>
      </c>
      <c r="G41" s="299">
        <v>17200</v>
      </c>
      <c r="H41" s="82"/>
    </row>
    <row r="42" spans="1:8" s="20" customFormat="1" ht="15.75" customHeight="1">
      <c r="A42" s="1183"/>
      <c r="B42" s="86" t="s">
        <v>1626</v>
      </c>
      <c r="C42" s="403">
        <v>-2123</v>
      </c>
      <c r="D42" s="403">
        <v>-1116</v>
      </c>
      <c r="E42" s="403">
        <v>-4416</v>
      </c>
      <c r="F42" s="403">
        <v>-3282</v>
      </c>
      <c r="G42" s="299">
        <v>36</v>
      </c>
      <c r="H42" s="82"/>
    </row>
    <row r="43" spans="1:8" s="20" customFormat="1" ht="15.75" customHeight="1">
      <c r="A43" s="37">
        <v>15</v>
      </c>
      <c r="B43" s="44" t="s">
        <v>1692</v>
      </c>
      <c r="C43" s="403">
        <v>167597</v>
      </c>
      <c r="D43" s="403">
        <v>167597</v>
      </c>
      <c r="E43" s="403">
        <v>167597</v>
      </c>
      <c r="F43" s="403">
        <v>167597</v>
      </c>
      <c r="G43" s="403">
        <v>167597</v>
      </c>
      <c r="H43" s="82"/>
    </row>
    <row r="44" spans="1:8" s="20" customFormat="1" ht="17.25" customHeight="1">
      <c r="A44" s="37">
        <v>16</v>
      </c>
      <c r="B44" s="44" t="s">
        <v>1439</v>
      </c>
      <c r="C44" s="299"/>
      <c r="D44" s="299"/>
      <c r="E44" s="299"/>
      <c r="F44" s="418"/>
      <c r="G44" s="418"/>
      <c r="H44" s="82"/>
    </row>
    <row r="45" spans="1:8" s="20" customFormat="1" ht="30.75" customHeight="1">
      <c r="A45" s="37">
        <v>17</v>
      </c>
      <c r="B45" s="44" t="s">
        <v>1427</v>
      </c>
      <c r="C45" s="403">
        <v>15</v>
      </c>
      <c r="D45" s="403">
        <v>15</v>
      </c>
      <c r="E45" s="403">
        <v>15</v>
      </c>
      <c r="F45" s="403">
        <v>15</v>
      </c>
      <c r="G45" s="403">
        <v>15</v>
      </c>
      <c r="H45" s="82"/>
    </row>
    <row r="46" spans="1:8" s="20" customFormat="1" ht="30" customHeight="1">
      <c r="A46" s="37">
        <v>18</v>
      </c>
      <c r="B46" s="44" t="s">
        <v>1476</v>
      </c>
      <c r="C46" s="419">
        <v>15.16</v>
      </c>
      <c r="D46" s="419">
        <v>13.1</v>
      </c>
      <c r="E46" s="419">
        <v>12.54</v>
      </c>
      <c r="F46" s="419">
        <v>13.94</v>
      </c>
      <c r="G46" s="419">
        <v>14.53</v>
      </c>
      <c r="H46" s="82"/>
    </row>
    <row r="47" spans="1:8" s="20" customFormat="1" ht="15.75" customHeight="1">
      <c r="A47" s="37">
        <v>19</v>
      </c>
      <c r="B47" s="44" t="s">
        <v>1627</v>
      </c>
      <c r="C47" s="419">
        <v>1.48</v>
      </c>
      <c r="D47" s="419">
        <v>-0.01</v>
      </c>
      <c r="E47" s="419">
        <v>-0.01</v>
      </c>
      <c r="F47" s="419">
        <v>-0.31</v>
      </c>
      <c r="G47" s="419">
        <v>-1.1000000000000001</v>
      </c>
      <c r="H47" s="82"/>
    </row>
    <row r="48" spans="1:8" s="20" customFormat="1" ht="30" customHeight="1">
      <c r="A48" s="1182">
        <v>20</v>
      </c>
      <c r="B48" s="44" t="s">
        <v>1646</v>
      </c>
      <c r="C48" s="420">
        <f>SUM(C49:C52)</f>
        <v>111296</v>
      </c>
      <c r="D48" s="420">
        <f>SUM(D49:D52)</f>
        <v>110574</v>
      </c>
      <c r="E48" s="420">
        <f>SUM(E49:E52)</f>
        <v>114510</v>
      </c>
      <c r="F48" s="420">
        <f>SUM(F49:F52)</f>
        <v>117601.77</v>
      </c>
      <c r="G48" s="420">
        <f>SUM(G49:G52)</f>
        <v>117601.77</v>
      </c>
      <c r="H48" s="82"/>
    </row>
    <row r="49" spans="1:8" s="20" customFormat="1" ht="14.45" customHeight="1">
      <c r="A49" s="1257"/>
      <c r="B49" s="44" t="s">
        <v>1644</v>
      </c>
      <c r="C49" s="421">
        <v>42473</v>
      </c>
      <c r="D49" s="421">
        <v>42121</v>
      </c>
      <c r="E49" s="421">
        <v>43313</v>
      </c>
      <c r="F49" s="421">
        <v>42681.4</v>
      </c>
      <c r="G49" s="421">
        <v>42681.4</v>
      </c>
      <c r="H49" s="82"/>
    </row>
    <row r="50" spans="1:8" s="20" customFormat="1" ht="14.45" customHeight="1">
      <c r="A50" s="1257"/>
      <c r="B50" s="44" t="s">
        <v>1645</v>
      </c>
      <c r="C50" s="421">
        <v>54361</v>
      </c>
      <c r="D50" s="421">
        <v>53991</v>
      </c>
      <c r="E50" s="421">
        <v>57293</v>
      </c>
      <c r="F50" s="421">
        <v>61003.4</v>
      </c>
      <c r="G50" s="421">
        <v>61003.4</v>
      </c>
      <c r="H50" s="82"/>
    </row>
    <row r="51" spans="1:8" s="20" customFormat="1" ht="14.45" customHeight="1">
      <c r="A51" s="1257"/>
      <c r="B51" s="44" t="s">
        <v>1429</v>
      </c>
      <c r="C51" s="422"/>
      <c r="D51" s="422"/>
      <c r="E51" s="422"/>
      <c r="F51" s="422"/>
      <c r="G51" s="422"/>
      <c r="H51" s="82"/>
    </row>
    <row r="52" spans="1:8" s="20" customFormat="1" ht="14.45" customHeight="1">
      <c r="A52" s="1183"/>
      <c r="B52" s="44" t="s">
        <v>1428</v>
      </c>
      <c r="C52" s="422">
        <v>14462</v>
      </c>
      <c r="D52" s="422">
        <v>14462</v>
      </c>
      <c r="E52" s="422">
        <v>13904</v>
      </c>
      <c r="F52" s="422">
        <v>13916.97</v>
      </c>
      <c r="G52" s="422">
        <v>13916.97</v>
      </c>
      <c r="H52" s="82"/>
    </row>
    <row r="53" spans="1:8" s="131" customFormat="1" ht="9" customHeight="1">
      <c r="A53" s="130"/>
      <c r="B53" s="82"/>
      <c r="C53" s="82"/>
      <c r="D53" s="82"/>
      <c r="E53" s="82"/>
      <c r="F53" s="82"/>
      <c r="G53" s="82"/>
      <c r="H53" s="82"/>
    </row>
    <row r="54" spans="1:8" s="131" customFormat="1" ht="15.75" customHeight="1">
      <c r="A54" s="1256" t="s">
        <v>1426</v>
      </c>
      <c r="B54" s="1256"/>
      <c r="C54" s="1256"/>
      <c r="D54" s="1256"/>
      <c r="E54" s="1256"/>
      <c r="F54" s="1256"/>
      <c r="G54" s="1256"/>
      <c r="H54" s="1256"/>
    </row>
    <row r="55" spans="1:8" ht="15">
      <c r="A55" s="1256" t="s">
        <v>129</v>
      </c>
      <c r="B55" s="1256"/>
      <c r="C55" s="1256"/>
      <c r="D55" s="1256"/>
      <c r="E55" s="1256"/>
      <c r="F55" s="1256"/>
      <c r="G55" s="1256"/>
      <c r="H55" s="1256"/>
    </row>
  </sheetData>
  <protectedRanges>
    <protectedRange sqref="C26:D26" name="Диапазон1_1_6_1" securityDescriptor="O:WDG:WDD:(A;;CC;;;WD)"/>
    <protectedRange sqref="C27:D27" name="Диапазон1_1_7_1" securityDescriptor="O:WDG:WDD:(A;;CC;;;WD)"/>
    <protectedRange sqref="C28" name="Диапазон1_1_16_1" securityDescriptor="O:WDG:WDD:(A;;CC;;;WD)"/>
    <protectedRange sqref="D28" name="Диапазон1_1_17_1" securityDescriptor="O:WDG:WDD:(A;;CC;;;WD)"/>
    <protectedRange sqref="E28" name="Диапазон1_1_18_1" securityDescriptor="O:WDG:WDD:(A;;CC;;;WD)"/>
    <protectedRange sqref="F28:G28" name="Диапазон1_1_19_1" securityDescriptor="O:WDG:WDD:(A;;CC;;;WD)"/>
    <protectedRange sqref="C29" name="Диапазон1_1_8_1" securityDescriptor="O:WDG:WDD:(A;;CC;;;WD)"/>
    <protectedRange sqref="C34" name="Диапазон1_1_9_1" securityDescriptor="O:WDG:WDD:(A;;CC;;;WD)"/>
    <protectedRange sqref="C39" name="Диапазон1_1_10_1" securityDescriptor="O:WDG:WDD:(A;;CC;;;WD)"/>
    <protectedRange sqref="C43" name="Диапазон1_1_11_1" securityDescriptor="O:WDG:WDD:(A;;CC;;;WD)"/>
    <protectedRange sqref="C45" name="Диапазон1_1_22_1" securityDescriptor="O:WDG:WDD:(A;;CC;;;WD)"/>
    <protectedRange sqref="C8:D8" name="Диапазон1_1_1_1" securityDescriptor="O:WDG:WDD:(A;;CC;;;WD)"/>
    <protectedRange sqref="C9:D9" name="Диапазон1_1_2_1" securityDescriptor="O:WDG:WDD:(A;;CC;;;WD)"/>
    <protectedRange sqref="C10:D10" name="Диапазон1_1_3_1" securityDescriptor="O:WDG:WDD:(A;;CC;;;WD)"/>
  </protectedRanges>
  <mergeCells count="16">
    <mergeCell ref="A8:A10"/>
    <mergeCell ref="F2:G2"/>
    <mergeCell ref="A3:G3"/>
    <mergeCell ref="A4:G4"/>
    <mergeCell ref="A5:A6"/>
    <mergeCell ref="B5:B6"/>
    <mergeCell ref="C5:G5"/>
    <mergeCell ref="A55:H55"/>
    <mergeCell ref="A48:A52"/>
    <mergeCell ref="A54:H54"/>
    <mergeCell ref="A11:A21"/>
    <mergeCell ref="A22:A25"/>
    <mergeCell ref="A26:A27"/>
    <mergeCell ref="A30:A32"/>
    <mergeCell ref="A35:A37"/>
    <mergeCell ref="A40:A42"/>
  </mergeCells>
  <phoneticPr fontId="2" type="noConversion"/>
  <pageMargins left="0.19685039370078741" right="0.78740157480314965" top="0.31496062992125984" bottom="0.35433070866141736" header="0.19685039370078741" footer="0.23622047244094491"/>
  <pageSetup paperSize="9" scale="74"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sheetPr codeName="Лист21">
    <tabColor rgb="FF00B0F0"/>
  </sheetPr>
  <dimension ref="A1:K91"/>
  <sheetViews>
    <sheetView view="pageBreakPreview" zoomScaleNormal="100" zoomScaleSheetLayoutView="100" zoomScalePageLayoutView="55" workbookViewId="0">
      <selection activeCell="F17" sqref="F17"/>
    </sheetView>
  </sheetViews>
  <sheetFormatPr defaultRowHeight="12.75"/>
  <cols>
    <col min="1" max="1" width="4" style="131" customWidth="1"/>
    <col min="2" max="2" width="27.5703125" style="131" customWidth="1"/>
    <col min="3" max="3" width="15.7109375" style="131" customWidth="1"/>
    <col min="4" max="4" width="12.85546875" style="131" customWidth="1"/>
    <col min="5" max="5" width="15.7109375" style="131" customWidth="1"/>
    <col min="6" max="6" width="10.140625" style="131" customWidth="1"/>
    <col min="7" max="8" width="15.7109375" style="131" customWidth="1"/>
    <col min="9" max="9" width="15.5703125" style="131" customWidth="1"/>
    <col min="10" max="10" width="16.42578125" style="131" customWidth="1"/>
    <col min="11" max="16384" width="9.140625" style="131"/>
  </cols>
  <sheetData>
    <row r="1" spans="1:10" s="94" customFormat="1" ht="15.75">
      <c r="A1" s="97"/>
      <c r="B1" s="97"/>
      <c r="C1" s="97"/>
      <c r="D1" s="97"/>
      <c r="E1" s="97"/>
      <c r="F1" s="97"/>
      <c r="G1" s="97"/>
      <c r="H1" s="97"/>
      <c r="I1" s="959"/>
      <c r="J1" s="959"/>
    </row>
    <row r="2" spans="1:10" s="94" customFormat="1" ht="12.75" customHeight="1">
      <c r="A2" s="97"/>
      <c r="B2" s="97"/>
      <c r="C2" s="97"/>
      <c r="D2" s="97"/>
      <c r="E2" s="97"/>
      <c r="F2" s="97"/>
      <c r="G2" s="33"/>
      <c r="H2" s="35"/>
      <c r="I2" s="35"/>
      <c r="J2" s="35"/>
    </row>
    <row r="3" spans="1:10" s="20" customFormat="1" ht="25.5" customHeight="1">
      <c r="A3" s="985" t="s">
        <v>1685</v>
      </c>
      <c r="B3" s="985"/>
      <c r="C3" s="985"/>
      <c r="D3" s="985"/>
      <c r="E3" s="985"/>
      <c r="F3" s="985"/>
      <c r="G3" s="985"/>
      <c r="H3" s="985"/>
      <c r="I3" s="985"/>
      <c r="J3" s="985"/>
    </row>
    <row r="4" spans="1:10" s="20" customFormat="1" ht="15.75" customHeight="1">
      <c r="A4" s="1182" t="s">
        <v>1531</v>
      </c>
      <c r="B4" s="1075" t="s">
        <v>1532</v>
      </c>
      <c r="C4" s="989" t="s">
        <v>672</v>
      </c>
      <c r="D4" s="989"/>
      <c r="E4" s="1075" t="s">
        <v>1432</v>
      </c>
      <c r="F4" s="1075"/>
      <c r="G4" s="1075"/>
      <c r="H4" s="1075"/>
      <c r="I4" s="1075"/>
      <c r="J4" s="1075"/>
    </row>
    <row r="5" spans="1:10" s="20" customFormat="1" ht="30.75" customHeight="1">
      <c r="A5" s="1257"/>
      <c r="B5" s="1075"/>
      <c r="C5" s="989"/>
      <c r="D5" s="989"/>
      <c r="E5" s="1269">
        <v>2014</v>
      </c>
      <c r="F5" s="1269"/>
      <c r="G5" s="41">
        <v>2015</v>
      </c>
      <c r="H5" s="41">
        <v>2016</v>
      </c>
      <c r="I5" s="41">
        <v>2017</v>
      </c>
      <c r="J5" s="41">
        <v>2018</v>
      </c>
    </row>
    <row r="6" spans="1:10" s="20" customFormat="1" ht="31.5" customHeight="1">
      <c r="A6" s="1183"/>
      <c r="B6" s="1075"/>
      <c r="C6" s="648" t="s">
        <v>287</v>
      </c>
      <c r="D6" s="648" t="s">
        <v>1534</v>
      </c>
      <c r="E6" s="648" t="s">
        <v>287</v>
      </c>
      <c r="F6" s="648" t="s">
        <v>1534</v>
      </c>
      <c r="G6" s="648" t="s">
        <v>287</v>
      </c>
      <c r="H6" s="648" t="s">
        <v>287</v>
      </c>
      <c r="I6" s="648" t="s">
        <v>287</v>
      </c>
      <c r="J6" s="649" t="s">
        <v>287</v>
      </c>
    </row>
    <row r="7" spans="1:10" s="20" customFormat="1" ht="45" customHeight="1">
      <c r="A7" s="37">
        <v>1</v>
      </c>
      <c r="B7" s="87" t="s">
        <v>1689</v>
      </c>
      <c r="C7" s="84">
        <f>E7+G7+H7+I7+J7</f>
        <v>183138.3387655</v>
      </c>
      <c r="D7" s="60">
        <f>C7/C14</f>
        <v>0.72381256631142199</v>
      </c>
      <c r="E7" s="84">
        <f>'6. Проведення закупівлі'!F23</f>
        <v>29794.479999999992</v>
      </c>
      <c r="F7" s="60">
        <f>E7/E14</f>
        <v>0.71890932743795988</v>
      </c>
      <c r="G7" s="84">
        <f>'5.1. Електричні мережі'!K36</f>
        <v>31169.545499999997</v>
      </c>
      <c r="H7" s="84">
        <f>'5.1. Електричні мережі'!L36</f>
        <v>34728.900050000004</v>
      </c>
      <c r="I7" s="84">
        <f>'5.1. Електричні мережі'!M36</f>
        <v>41385.291055000002</v>
      </c>
      <c r="J7" s="84">
        <f>'5.1. Електричні мережі'!N36</f>
        <v>46060.12216050001</v>
      </c>
    </row>
    <row r="8" spans="1:10" s="20" customFormat="1" ht="30" customHeight="1">
      <c r="A8" s="37">
        <v>2</v>
      </c>
      <c r="B8" s="87" t="s">
        <v>1433</v>
      </c>
      <c r="C8" s="84">
        <f t="shared" ref="C8:C13" si="0">E8+G8+H8+I8+J8</f>
        <v>39050.174151521991</v>
      </c>
      <c r="D8" s="60">
        <f>C8/C14</f>
        <v>0.15433691797168203</v>
      </c>
      <c r="E8" s="84">
        <f>'6. Проведення закупівлі'!F40</f>
        <v>6396.3201506153846</v>
      </c>
      <c r="F8" s="60">
        <f>E8/E14</f>
        <v>0.15433644814599137</v>
      </c>
      <c r="G8" s="84">
        <f>'5.2. Зниження понаднорматива'!J21</f>
        <v>7035.9521656769239</v>
      </c>
      <c r="H8" s="84">
        <f>'5.2. Зниження понаднорматива'!K21</f>
        <v>7739.5473822446174</v>
      </c>
      <c r="I8" s="84">
        <f>'5.2. Зниження понаднорматива'!L21</f>
        <v>8513.5021204690802</v>
      </c>
      <c r="J8" s="84">
        <f>'5.2. Зниження понаднорматива'!M21</f>
        <v>9364.8523325159877</v>
      </c>
    </row>
    <row r="9" spans="1:10" s="20" customFormat="1" ht="60" customHeight="1">
      <c r="A9" s="37">
        <v>3</v>
      </c>
      <c r="B9" s="87" t="s">
        <v>197</v>
      </c>
      <c r="C9" s="84">
        <f t="shared" si="0"/>
        <v>4320</v>
      </c>
      <c r="D9" s="60">
        <f>C9/C14</f>
        <v>1.7073815933588612E-2</v>
      </c>
      <c r="E9" s="84">
        <f>'6. Проведення закупівлі'!F42</f>
        <v>0</v>
      </c>
      <c r="F9" s="60">
        <f>E9/E14</f>
        <v>0</v>
      </c>
      <c r="G9" s="84">
        <f>'5.3. АСДТК'!G33</f>
        <v>1340</v>
      </c>
      <c r="H9" s="84">
        <f>'5.3. АСДТК'!H33</f>
        <v>1980</v>
      </c>
      <c r="I9" s="84">
        <f>'5.3. АСДТК'!I33</f>
        <v>500</v>
      </c>
      <c r="J9" s="84">
        <f>'5.3. АСДТК'!J33</f>
        <v>500</v>
      </c>
    </row>
    <row r="10" spans="1:10" s="20" customFormat="1" ht="30" customHeight="1">
      <c r="A10" s="37">
        <v>4</v>
      </c>
      <c r="B10" s="87" t="s">
        <v>1535</v>
      </c>
      <c r="C10" s="84">
        <f t="shared" si="0"/>
        <v>10511.172399999999</v>
      </c>
      <c r="D10" s="60">
        <f>C10/C14</f>
        <v>4.1543014537920565E-2</v>
      </c>
      <c r="E10" s="84">
        <f>'6. Проведення закупівлі'!F53</f>
        <v>2771.1723999999999</v>
      </c>
      <c r="F10" s="60">
        <f>E10/E14</f>
        <v>6.6865462538652706E-2</v>
      </c>
      <c r="G10" s="84">
        <f>'5.4. Інформаційні технології'!G47</f>
        <v>3070</v>
      </c>
      <c r="H10" s="84">
        <f>'5.4. Інформаційні технології'!H47</f>
        <v>2070</v>
      </c>
      <c r="I10" s="84">
        <f>'5.4. Інформаційні технології'!I47</f>
        <v>1300</v>
      </c>
      <c r="J10" s="84">
        <f>'5.4. Інформаційні технології'!J47</f>
        <v>1300</v>
      </c>
    </row>
    <row r="11" spans="1:10" s="20" customFormat="1" ht="30" customHeight="1">
      <c r="A11" s="37">
        <v>5</v>
      </c>
      <c r="B11" s="87" t="s">
        <v>1442</v>
      </c>
      <c r="C11" s="84">
        <f t="shared" si="0"/>
        <v>1490.6</v>
      </c>
      <c r="D11" s="60">
        <f>C11/C14</f>
        <v>5.8912569515294404E-3</v>
      </c>
      <c r="E11" s="84">
        <f>'6. Проведення закупівлі'!F56</f>
        <v>90.6</v>
      </c>
      <c r="F11" s="60">
        <f>E11/E14</f>
        <v>2.1860822899369002E-3</v>
      </c>
      <c r="G11" s="84">
        <f>'5.5. Зв''язок'!I23</f>
        <v>350</v>
      </c>
      <c r="H11" s="84">
        <f>'5.5. Зв''язок'!J23</f>
        <v>750</v>
      </c>
      <c r="I11" s="84">
        <f>'5.5. Зв''язок'!K23</f>
        <v>300</v>
      </c>
      <c r="J11" s="84">
        <f>'5.5. Зв''язок'!L23</f>
        <v>0</v>
      </c>
    </row>
    <row r="12" spans="1:10" s="20" customFormat="1" ht="30" customHeight="1">
      <c r="A12" s="37">
        <v>6</v>
      </c>
      <c r="B12" s="87" t="s">
        <v>1443</v>
      </c>
      <c r="C12" s="84">
        <f t="shared" si="0"/>
        <v>14211.024423000003</v>
      </c>
      <c r="D12" s="60">
        <f>C12/C14</f>
        <v>5.6165836857878321E-2</v>
      </c>
      <c r="E12" s="128">
        <f>'6. Проведення закупівлі'!F60</f>
        <v>2327.7299999999996</v>
      </c>
      <c r="F12" s="60">
        <f>E12/E14</f>
        <v>5.6165665880296027E-2</v>
      </c>
      <c r="G12" s="128">
        <f>'5.6. Транспорт'!H12</f>
        <v>2560.5029999999997</v>
      </c>
      <c r="H12" s="128">
        <f>'5.6. Транспорт'!I12</f>
        <v>2816.5533</v>
      </c>
      <c r="I12" s="128">
        <f>'5.6. Транспорт'!J12</f>
        <v>3098.2086300000001</v>
      </c>
      <c r="J12" s="128">
        <f>'5.6. Транспорт'!K12</f>
        <v>3408.0294930000009</v>
      </c>
    </row>
    <row r="13" spans="1:10" s="20" customFormat="1" ht="30" customHeight="1">
      <c r="A13" s="37">
        <v>7</v>
      </c>
      <c r="B13" s="87" t="s">
        <v>1536</v>
      </c>
      <c r="C13" s="84">
        <f t="shared" si="0"/>
        <v>297.7</v>
      </c>
      <c r="D13" s="60">
        <f>C13/C14</f>
        <v>1.1765914359790114E-3</v>
      </c>
      <c r="E13" s="128">
        <f>'6. Проведення закупівлі'!F63</f>
        <v>63.7</v>
      </c>
      <c r="F13" s="60">
        <f>E13/E14</f>
        <v>1.5370137071631408E-3</v>
      </c>
      <c r="G13" s="128">
        <f>'5.7. Інше'!H9</f>
        <v>62</v>
      </c>
      <c r="H13" s="128">
        <f>'5.7. Інше'!I9</f>
        <v>62</v>
      </c>
      <c r="I13" s="128">
        <f>'5.7. Інше'!J9</f>
        <v>65</v>
      </c>
      <c r="J13" s="128">
        <f>'5.7. Інше'!K9</f>
        <v>45</v>
      </c>
    </row>
    <row r="14" spans="1:10" s="20" customFormat="1" ht="15" customHeight="1">
      <c r="A14" s="1267" t="s">
        <v>14</v>
      </c>
      <c r="B14" s="1268"/>
      <c r="C14" s="259">
        <f>SUM(C7:C13)</f>
        <v>253019.00974002201</v>
      </c>
      <c r="D14" s="260"/>
      <c r="E14" s="871">
        <f>SUM(E7:E13)</f>
        <v>41444.002550615376</v>
      </c>
      <c r="F14" s="260"/>
      <c r="G14" s="259">
        <f>SUM(G7:G13)</f>
        <v>45588.000665676918</v>
      </c>
      <c r="H14" s="259">
        <f>SUM(H7:H13)</f>
        <v>50147.000732244618</v>
      </c>
      <c r="I14" s="259">
        <f>SUM(I7:I13)</f>
        <v>55162.001805469081</v>
      </c>
      <c r="J14" s="259">
        <f>SUM(J7:J13)</f>
        <v>60678.003986015996</v>
      </c>
    </row>
    <row r="15" spans="1:10" s="133" customFormat="1" ht="15">
      <c r="A15" s="89"/>
      <c r="B15" s="89"/>
      <c r="C15" s="89"/>
      <c r="D15" s="89"/>
      <c r="E15" s="203"/>
      <c r="F15" s="89"/>
      <c r="G15" s="203"/>
      <c r="H15" s="203"/>
      <c r="I15" s="203"/>
      <c r="J15" s="203"/>
    </row>
    <row r="16" spans="1:10" ht="15">
      <c r="A16" s="82"/>
      <c r="B16" s="82"/>
      <c r="C16" s="82"/>
      <c r="D16" s="82"/>
      <c r="E16" s="210"/>
      <c r="F16" s="82"/>
      <c r="G16" s="411"/>
      <c r="H16" s="411"/>
      <c r="I16" s="411"/>
      <c r="J16" s="411"/>
    </row>
    <row r="17" spans="2:11" s="98" customFormat="1" ht="15">
      <c r="B17" s="211" t="s">
        <v>248</v>
      </c>
      <c r="C17" s="212"/>
      <c r="D17" s="212"/>
      <c r="E17" s="212"/>
      <c r="F17" s="213"/>
      <c r="G17" s="212"/>
      <c r="H17" s="958" t="s">
        <v>249</v>
      </c>
      <c r="I17" s="958"/>
      <c r="J17" s="958"/>
      <c r="K17" s="97"/>
    </row>
    <row r="18" spans="2:11" ht="15">
      <c r="B18" s="214" t="s">
        <v>250</v>
      </c>
      <c r="C18" s="212"/>
      <c r="D18" s="212"/>
      <c r="E18" s="212"/>
      <c r="F18" s="212"/>
      <c r="G18" s="212"/>
      <c r="H18" s="957" t="s">
        <v>143</v>
      </c>
      <c r="I18" s="957"/>
      <c r="J18" s="957"/>
    </row>
    <row r="19" spans="2:11" ht="15">
      <c r="B19" s="214"/>
      <c r="C19" s="212"/>
      <c r="D19" s="212"/>
      <c r="E19" s="212"/>
      <c r="F19" s="212"/>
      <c r="G19" s="212"/>
      <c r="H19" s="212"/>
      <c r="I19" s="212"/>
      <c r="J19" s="212"/>
    </row>
    <row r="20" spans="2:11" ht="15">
      <c r="B20" s="215" t="s">
        <v>1788</v>
      </c>
      <c r="C20" s="212"/>
      <c r="D20" s="212"/>
      <c r="E20" s="212"/>
      <c r="F20" s="212"/>
      <c r="G20" s="212"/>
      <c r="H20" s="212"/>
      <c r="I20" s="212"/>
      <c r="J20" s="212"/>
    </row>
    <row r="21" spans="2:11" ht="15">
      <c r="B21" s="216" t="s">
        <v>12</v>
      </c>
      <c r="C21" s="217"/>
      <c r="D21" s="217"/>
      <c r="E21" s="217"/>
      <c r="F21" s="217"/>
      <c r="G21" s="217"/>
      <c r="H21" s="217"/>
      <c r="I21" s="218"/>
      <c r="J21" s="218"/>
    </row>
    <row r="22" spans="2:11" ht="15">
      <c r="B22" s="219"/>
      <c r="C22" s="220"/>
      <c r="D22" s="221"/>
      <c r="E22" s="222"/>
      <c r="F22" s="223"/>
      <c r="G22" s="220"/>
      <c r="H22" s="224"/>
      <c r="I22" s="220"/>
      <c r="J22" s="224"/>
    </row>
    <row r="91" spans="6:6">
      <c r="F91" s="887"/>
    </row>
  </sheetData>
  <mergeCells count="10">
    <mergeCell ref="H17:J17"/>
    <mergeCell ref="H18:J18"/>
    <mergeCell ref="I1:J1"/>
    <mergeCell ref="A14:B14"/>
    <mergeCell ref="A3:J3"/>
    <mergeCell ref="E4:J4"/>
    <mergeCell ref="C4:D5"/>
    <mergeCell ref="A4:A6"/>
    <mergeCell ref="B4:B6"/>
    <mergeCell ref="E5:F5"/>
  </mergeCells>
  <phoneticPr fontId="2" type="noConversion"/>
  <pageMargins left="0.61" right="0.35" top="0.77" bottom="1" header="0.5" footer="0.5"/>
  <pageSetup paperSize="9" scale="90" orientation="landscape" r:id="rId1"/>
  <headerFooter alignWithMargins="0"/>
</worksheet>
</file>

<file path=xl/worksheets/sheet22.xml><?xml version="1.0" encoding="utf-8"?>
<worksheet xmlns="http://schemas.openxmlformats.org/spreadsheetml/2006/main" xmlns:r="http://schemas.openxmlformats.org/officeDocument/2006/relationships">
  <sheetPr codeName="Лист22">
    <tabColor rgb="FF00B0F0"/>
  </sheetPr>
  <dimension ref="A1:N37"/>
  <sheetViews>
    <sheetView view="pageBreakPreview" topLeftCell="C1" zoomScaleNormal="100" zoomScaleSheetLayoutView="100" workbookViewId="0">
      <selection activeCell="N29" sqref="N29"/>
    </sheetView>
  </sheetViews>
  <sheetFormatPr defaultRowHeight="15"/>
  <cols>
    <col min="1" max="1" width="5" style="135" customWidth="1"/>
    <col min="2" max="2" width="7.7109375" style="135" customWidth="1"/>
    <col min="3" max="3" width="32" style="135" customWidth="1"/>
    <col min="4" max="4" width="13.140625" style="135" customWidth="1"/>
    <col min="5" max="5" width="10.5703125" style="135" customWidth="1"/>
    <col min="6" max="6" width="11.28515625" style="135" customWidth="1"/>
    <col min="7" max="7" width="10.7109375" style="135" customWidth="1"/>
    <col min="8" max="10" width="10.42578125" style="135" customWidth="1"/>
    <col min="11" max="11" width="11.5703125" style="135" customWidth="1"/>
    <col min="12" max="12" width="11.28515625" style="135" customWidth="1"/>
    <col min="13" max="14" width="11.42578125" style="135" customWidth="1"/>
    <col min="15" max="16384" width="9.140625" style="135"/>
  </cols>
  <sheetData>
    <row r="1" spans="1:14" s="94" customFormat="1" ht="18.75">
      <c r="A1" s="97"/>
      <c r="B1" s="97"/>
      <c r="C1" s="97"/>
      <c r="D1" s="97"/>
      <c r="E1" s="97"/>
      <c r="F1" s="97"/>
      <c r="G1" s="97"/>
      <c r="H1" s="97"/>
      <c r="I1" s="146"/>
      <c r="J1" s="97"/>
      <c r="K1" s="97"/>
      <c r="L1" s="1281"/>
      <c r="M1" s="1281"/>
      <c r="N1" s="1281"/>
    </row>
    <row r="2" spans="1:14" s="94" customFormat="1" ht="17.25" customHeight="1">
      <c r="A2" s="97"/>
      <c r="B2" s="97"/>
      <c r="C2" s="97"/>
      <c r="D2" s="97"/>
      <c r="E2" s="97"/>
      <c r="F2" s="97"/>
      <c r="G2" s="33"/>
      <c r="H2" s="35"/>
      <c r="I2" s="35"/>
      <c r="J2" s="35"/>
      <c r="K2" s="171"/>
      <c r="L2" s="97"/>
      <c r="M2" s="97"/>
      <c r="N2" s="97"/>
    </row>
    <row r="3" spans="1:14" s="134" customFormat="1" ht="23.25" customHeight="1">
      <c r="A3" s="985" t="s">
        <v>150</v>
      </c>
      <c r="B3" s="985"/>
      <c r="C3" s="985"/>
      <c r="D3" s="985"/>
      <c r="E3" s="985"/>
      <c r="F3" s="985"/>
      <c r="G3" s="985"/>
      <c r="H3" s="985"/>
      <c r="I3" s="985"/>
      <c r="J3" s="985"/>
      <c r="K3" s="985"/>
      <c r="L3" s="985"/>
      <c r="M3" s="985"/>
      <c r="N3" s="985"/>
    </row>
    <row r="4" spans="1:14" s="134" customFormat="1" ht="15" customHeight="1">
      <c r="A4" s="975" t="s">
        <v>1531</v>
      </c>
      <c r="B4" s="1282" t="s">
        <v>1538</v>
      </c>
      <c r="C4" s="1283"/>
      <c r="D4" s="987" t="s">
        <v>326</v>
      </c>
      <c r="E4" s="1289"/>
      <c r="F4" s="975" t="s">
        <v>1432</v>
      </c>
      <c r="G4" s="975"/>
      <c r="H4" s="975"/>
      <c r="I4" s="975"/>
      <c r="J4" s="975"/>
      <c r="K4" s="975"/>
      <c r="L4" s="975"/>
      <c r="M4" s="975"/>
      <c r="N4" s="975"/>
    </row>
    <row r="5" spans="1:14" s="134" customFormat="1" ht="31.5" customHeight="1">
      <c r="A5" s="975"/>
      <c r="B5" s="1284"/>
      <c r="C5" s="1285"/>
      <c r="D5" s="1290"/>
      <c r="E5" s="1291"/>
      <c r="F5" s="1288">
        <v>2014</v>
      </c>
      <c r="G5" s="1199"/>
      <c r="H5" s="1199"/>
      <c r="I5" s="1199"/>
      <c r="J5" s="1199"/>
      <c r="K5" s="62">
        <v>2015</v>
      </c>
      <c r="L5" s="62">
        <v>2016</v>
      </c>
      <c r="M5" s="62">
        <v>2017</v>
      </c>
      <c r="N5" s="62">
        <v>2018</v>
      </c>
    </row>
    <row r="6" spans="1:14" s="134" customFormat="1" ht="14.25" customHeight="1">
      <c r="A6" s="975"/>
      <c r="B6" s="1284"/>
      <c r="C6" s="1285"/>
      <c r="D6" s="975" t="s">
        <v>1437</v>
      </c>
      <c r="E6" s="975" t="s">
        <v>1534</v>
      </c>
      <c r="F6" s="1282" t="s">
        <v>1445</v>
      </c>
      <c r="G6" s="1283"/>
      <c r="H6" s="975" t="s">
        <v>1446</v>
      </c>
      <c r="I6" s="975"/>
      <c r="J6" s="975"/>
      <c r="K6" s="975" t="s">
        <v>287</v>
      </c>
      <c r="L6" s="975" t="s">
        <v>287</v>
      </c>
      <c r="M6" s="975" t="s">
        <v>287</v>
      </c>
      <c r="N6" s="975" t="s">
        <v>287</v>
      </c>
    </row>
    <row r="7" spans="1:14" s="134" customFormat="1" ht="14.25" customHeight="1">
      <c r="A7" s="975"/>
      <c r="B7" s="1284"/>
      <c r="C7" s="1285"/>
      <c r="D7" s="975"/>
      <c r="E7" s="975"/>
      <c r="F7" s="1286"/>
      <c r="G7" s="1287"/>
      <c r="H7" s="1202" t="s">
        <v>1543</v>
      </c>
      <c r="I7" s="1266"/>
      <c r="J7" s="975" t="s">
        <v>1462</v>
      </c>
      <c r="K7" s="975"/>
      <c r="L7" s="975"/>
      <c r="M7" s="975"/>
      <c r="N7" s="975"/>
    </row>
    <row r="8" spans="1:14" s="134" customFormat="1" ht="30" customHeight="1">
      <c r="A8" s="975"/>
      <c r="B8" s="1286"/>
      <c r="C8" s="1287"/>
      <c r="D8" s="975"/>
      <c r="E8" s="975"/>
      <c r="F8" s="37" t="s">
        <v>287</v>
      </c>
      <c r="G8" s="37" t="s">
        <v>1534</v>
      </c>
      <c r="H8" s="37" t="s">
        <v>1444</v>
      </c>
      <c r="I8" s="37" t="s">
        <v>1534</v>
      </c>
      <c r="J8" s="975"/>
      <c r="K8" s="975"/>
      <c r="L8" s="975"/>
      <c r="M8" s="975"/>
      <c r="N8" s="975"/>
    </row>
    <row r="9" spans="1:14" s="134" customFormat="1" ht="14.25" customHeight="1">
      <c r="A9" s="239">
        <v>1</v>
      </c>
      <c r="B9" s="993">
        <v>2</v>
      </c>
      <c r="C9" s="995"/>
      <c r="D9" s="239">
        <v>3</v>
      </c>
      <c r="E9" s="239">
        <v>4</v>
      </c>
      <c r="F9" s="239">
        <v>5</v>
      </c>
      <c r="G9" s="239">
        <v>6</v>
      </c>
      <c r="H9" s="239">
        <v>7</v>
      </c>
      <c r="I9" s="239">
        <v>8</v>
      </c>
      <c r="J9" s="239">
        <v>9</v>
      </c>
      <c r="K9" s="239">
        <v>10</v>
      </c>
      <c r="L9" s="239">
        <v>11</v>
      </c>
      <c r="M9" s="239">
        <v>12</v>
      </c>
      <c r="N9" s="239">
        <v>13</v>
      </c>
    </row>
    <row r="10" spans="1:14" ht="44.25" customHeight="1">
      <c r="A10" s="355" t="s">
        <v>1695</v>
      </c>
      <c r="B10" s="1278" t="s">
        <v>1687</v>
      </c>
      <c r="C10" s="1278"/>
      <c r="D10" s="398">
        <f>SUM(F10,K10:N10)</f>
        <v>182068.0507655</v>
      </c>
      <c r="E10" s="399">
        <f>SUM(E11,E17,E23,E27,E31)</f>
        <v>1.0000000000000002</v>
      </c>
      <c r="F10" s="398">
        <f>SUM(F11,F17,F23,F27,F31)</f>
        <v>28958.191999999995</v>
      </c>
      <c r="G10" s="399">
        <v>1</v>
      </c>
      <c r="H10" s="398">
        <f>SUM(H11,H17,H23,H27,H31)</f>
        <v>0.79859999999999998</v>
      </c>
      <c r="I10" s="399">
        <f>SUM(I11,I17,I23,I27,I31)</f>
        <v>1</v>
      </c>
      <c r="J10" s="305"/>
      <c r="K10" s="398">
        <f>SUM(K11,K17,K23,K27,K31)</f>
        <v>31107.545499999997</v>
      </c>
      <c r="L10" s="398">
        <f>SUM(L11,L17,L23,L27,L31)</f>
        <v>34666.900050000004</v>
      </c>
      <c r="M10" s="398">
        <f>SUM(M11,M17,M23,M27,M31)</f>
        <v>41320.291055000002</v>
      </c>
      <c r="N10" s="398">
        <f>SUM(N11,N17,N23,N27,N31)</f>
        <v>46015.12216050001</v>
      </c>
    </row>
    <row r="11" spans="1:14" ht="31.5" customHeight="1">
      <c r="A11" s="1292" t="s">
        <v>1693</v>
      </c>
      <c r="B11" s="1278" t="s">
        <v>669</v>
      </c>
      <c r="C11" s="1278"/>
      <c r="D11" s="398">
        <f t="shared" ref="D11:D36" si="0">SUM(F11,K11:N11)</f>
        <v>0</v>
      </c>
      <c r="E11" s="399">
        <f>D11/D10</f>
        <v>0</v>
      </c>
      <c r="F11" s="398">
        <f>SUM(F12:F15)</f>
        <v>0</v>
      </c>
      <c r="G11" s="399">
        <f>F11/F10</f>
        <v>0</v>
      </c>
      <c r="H11" s="398">
        <f>SUM(H12:H15)</f>
        <v>0</v>
      </c>
      <c r="I11" s="400">
        <f>H11/H10</f>
        <v>0</v>
      </c>
      <c r="J11" s="401"/>
      <c r="K11" s="398">
        <f>SUM(K12:K15)</f>
        <v>0</v>
      </c>
      <c r="L11" s="398">
        <f>SUM(L12:L15)</f>
        <v>0</v>
      </c>
      <c r="M11" s="398">
        <f>SUM(M12:M15)</f>
        <v>0</v>
      </c>
      <c r="N11" s="398">
        <f>SUM(N12:N15)</f>
        <v>0</v>
      </c>
    </row>
    <row r="12" spans="1:14" ht="13.5" customHeight="1">
      <c r="A12" s="1292"/>
      <c r="B12" s="338" t="s">
        <v>1696</v>
      </c>
      <c r="C12" s="402" t="s">
        <v>135</v>
      </c>
      <c r="D12" s="398">
        <f t="shared" si="0"/>
        <v>0</v>
      </c>
      <c r="E12" s="306" t="e">
        <f>D12/D11</f>
        <v>#DIV/0!</v>
      </c>
      <c r="F12" s="299">
        <v>0</v>
      </c>
      <c r="G12" s="306" t="e">
        <f>F12/F11</f>
        <v>#DIV/0!</v>
      </c>
      <c r="H12" s="403">
        <v>0</v>
      </c>
      <c r="I12" s="404" t="e">
        <f>H12/H11</f>
        <v>#DIV/0!</v>
      </c>
      <c r="J12" s="323"/>
      <c r="K12" s="299">
        <f>F12*1.1</f>
        <v>0</v>
      </c>
      <c r="L12" s="299">
        <f>K12*1.1</f>
        <v>0</v>
      </c>
      <c r="M12" s="299">
        <f>L12*1.1</f>
        <v>0</v>
      </c>
      <c r="N12" s="299">
        <f>M12*1.1</f>
        <v>0</v>
      </c>
    </row>
    <row r="13" spans="1:14" ht="13.5" customHeight="1">
      <c r="A13" s="1292"/>
      <c r="B13" s="338" t="s">
        <v>54</v>
      </c>
      <c r="C13" s="402" t="s">
        <v>1618</v>
      </c>
      <c r="D13" s="398">
        <f t="shared" si="0"/>
        <v>0</v>
      </c>
      <c r="E13" s="306" t="e">
        <f>D13/D11</f>
        <v>#DIV/0!</v>
      </c>
      <c r="F13" s="299">
        <v>0</v>
      </c>
      <c r="G13" s="306" t="e">
        <f>F13/F11</f>
        <v>#DIV/0!</v>
      </c>
      <c r="H13" s="403">
        <v>0</v>
      </c>
      <c r="I13" s="404" t="e">
        <f>H13/H11</f>
        <v>#DIV/0!</v>
      </c>
      <c r="J13" s="323"/>
      <c r="K13" s="299">
        <f>F13*1.1</f>
        <v>0</v>
      </c>
      <c r="L13" s="299">
        <f t="shared" ref="L13:N16" si="1">K13*1.1</f>
        <v>0</v>
      </c>
      <c r="M13" s="299">
        <f t="shared" si="1"/>
        <v>0</v>
      </c>
      <c r="N13" s="299">
        <f t="shared" si="1"/>
        <v>0</v>
      </c>
    </row>
    <row r="14" spans="1:14" ht="13.5" customHeight="1">
      <c r="A14" s="1292"/>
      <c r="B14" s="338" t="s">
        <v>55</v>
      </c>
      <c r="C14" s="402" t="s">
        <v>47</v>
      </c>
      <c r="D14" s="398">
        <f t="shared" si="0"/>
        <v>0</v>
      </c>
      <c r="E14" s="306" t="e">
        <f>D14/D11</f>
        <v>#DIV/0!</v>
      </c>
      <c r="F14" s="299">
        <f>'5.1.1. Обсяги робіт'!F17</f>
        <v>0</v>
      </c>
      <c r="G14" s="306" t="e">
        <f>F14/F11</f>
        <v>#DIV/0!</v>
      </c>
      <c r="H14" s="403">
        <v>0</v>
      </c>
      <c r="I14" s="404" t="e">
        <f>H14/H11</f>
        <v>#DIV/0!</v>
      </c>
      <c r="J14" s="323"/>
      <c r="K14" s="299">
        <f>F14*1.1</f>
        <v>0</v>
      </c>
      <c r="L14" s="299">
        <f t="shared" si="1"/>
        <v>0</v>
      </c>
      <c r="M14" s="299">
        <f t="shared" si="1"/>
        <v>0</v>
      </c>
      <c r="N14" s="299">
        <f t="shared" si="1"/>
        <v>0</v>
      </c>
    </row>
    <row r="15" spans="1:14" ht="13.5" customHeight="1">
      <c r="A15" s="1292"/>
      <c r="B15" s="338" t="s">
        <v>56</v>
      </c>
      <c r="C15" s="402" t="s">
        <v>1688</v>
      </c>
      <c r="D15" s="398">
        <f t="shared" si="0"/>
        <v>0</v>
      </c>
      <c r="E15" s="306" t="e">
        <f>D15/D11</f>
        <v>#DIV/0!</v>
      </c>
      <c r="F15" s="299">
        <v>0</v>
      </c>
      <c r="G15" s="306" t="e">
        <f>F15/F11</f>
        <v>#DIV/0!</v>
      </c>
      <c r="H15" s="403">
        <v>0</v>
      </c>
      <c r="I15" s="404" t="e">
        <f>H15/H11</f>
        <v>#DIV/0!</v>
      </c>
      <c r="J15" s="323"/>
      <c r="K15" s="299">
        <f>F15*1.1</f>
        <v>0</v>
      </c>
      <c r="L15" s="299">
        <f t="shared" si="1"/>
        <v>0</v>
      </c>
      <c r="M15" s="299">
        <f t="shared" si="1"/>
        <v>0</v>
      </c>
      <c r="N15" s="299">
        <f t="shared" si="1"/>
        <v>0</v>
      </c>
    </row>
    <row r="16" spans="1:14" ht="30">
      <c r="A16" s="1292"/>
      <c r="B16" s="338" t="s">
        <v>1449</v>
      </c>
      <c r="C16" s="338" t="s">
        <v>1447</v>
      </c>
      <c r="D16" s="398">
        <f t="shared" si="0"/>
        <v>0</v>
      </c>
      <c r="E16" s="306" t="e">
        <f>D16/D15</f>
        <v>#DIV/0!</v>
      </c>
      <c r="F16" s="299">
        <v>0</v>
      </c>
      <c r="G16" s="306" t="e">
        <f>F16/F15</f>
        <v>#DIV/0!</v>
      </c>
      <c r="H16" s="403">
        <v>0</v>
      </c>
      <c r="I16" s="404" t="e">
        <f>H16/H15</f>
        <v>#DIV/0!</v>
      </c>
      <c r="J16" s="323"/>
      <c r="K16" s="299">
        <f>F16*1.1</f>
        <v>0</v>
      </c>
      <c r="L16" s="299">
        <f t="shared" si="1"/>
        <v>0</v>
      </c>
      <c r="M16" s="299">
        <f t="shared" si="1"/>
        <v>0</v>
      </c>
      <c r="N16" s="299">
        <f t="shared" si="1"/>
        <v>0</v>
      </c>
    </row>
    <row r="17" spans="1:14" ht="28.5" customHeight="1">
      <c r="A17" s="1292" t="s">
        <v>1694</v>
      </c>
      <c r="B17" s="1278" t="s">
        <v>670</v>
      </c>
      <c r="C17" s="1278"/>
      <c r="D17" s="398">
        <f t="shared" si="0"/>
        <v>149928.26907010001</v>
      </c>
      <c r="E17" s="399">
        <f>D17/D10</f>
        <v>0.82347379696619383</v>
      </c>
      <c r="F17" s="398">
        <f>SUM(F18:F21)</f>
        <v>25283.450999999997</v>
      </c>
      <c r="G17" s="399">
        <f>F17/F10</f>
        <v>0.87310184972874005</v>
      </c>
      <c r="H17" s="398">
        <f>SUM(H18:H21)</f>
        <v>0.36</v>
      </c>
      <c r="I17" s="399">
        <f>H17/H10</f>
        <v>0.45078888054094668</v>
      </c>
      <c r="J17" s="405"/>
      <c r="K17" s="398">
        <f>SUM(K18:K21)</f>
        <v>26593.066099999996</v>
      </c>
      <c r="L17" s="398">
        <f>SUM(L18:L21)</f>
        <v>27498.362710000001</v>
      </c>
      <c r="M17" s="398">
        <f>SUM(M18:M21)</f>
        <v>33227.272981000002</v>
      </c>
      <c r="N17" s="398">
        <f>SUM(N18:N21)</f>
        <v>37326.11627910001</v>
      </c>
    </row>
    <row r="18" spans="1:14">
      <c r="A18" s="1292"/>
      <c r="B18" s="338" t="s">
        <v>1697</v>
      </c>
      <c r="C18" s="402" t="s">
        <v>136</v>
      </c>
      <c r="D18" s="398">
        <f t="shared" si="0"/>
        <v>0</v>
      </c>
      <c r="E18" s="306">
        <f>D18/D17</f>
        <v>0</v>
      </c>
      <c r="F18" s="299">
        <v>0</v>
      </c>
      <c r="G18" s="306">
        <f>F18/F17</f>
        <v>0</v>
      </c>
      <c r="H18" s="403">
        <v>0</v>
      </c>
      <c r="I18" s="404">
        <f>H18/H17</f>
        <v>0</v>
      </c>
      <c r="J18" s="406"/>
      <c r="K18" s="299">
        <f>F18*1.1</f>
        <v>0</v>
      </c>
      <c r="L18" s="299">
        <f>K18*1.1</f>
        <v>0</v>
      </c>
      <c r="M18" s="299">
        <f>L18*1.1</f>
        <v>0</v>
      </c>
      <c r="N18" s="299">
        <f>M18*1.1</f>
        <v>0</v>
      </c>
    </row>
    <row r="19" spans="1:14" ht="14.25" customHeight="1">
      <c r="A19" s="1292"/>
      <c r="B19" s="338" t="s">
        <v>1451</v>
      </c>
      <c r="C19" s="402" t="s">
        <v>1618</v>
      </c>
      <c r="D19" s="398">
        <f t="shared" si="0"/>
        <v>0</v>
      </c>
      <c r="E19" s="306">
        <f>D19/D17</f>
        <v>0</v>
      </c>
      <c r="F19" s="299">
        <v>0</v>
      </c>
      <c r="G19" s="306">
        <f>F19/F17</f>
        <v>0</v>
      </c>
      <c r="H19" s="403">
        <v>0</v>
      </c>
      <c r="I19" s="404">
        <f>H19/H17</f>
        <v>0</v>
      </c>
      <c r="J19" s="406"/>
      <c r="K19" s="299">
        <f>F19*1.1</f>
        <v>0</v>
      </c>
      <c r="L19" s="299">
        <f t="shared" ref="L19:N23" si="2">K19*1.1</f>
        <v>0</v>
      </c>
      <c r="M19" s="299">
        <f t="shared" si="2"/>
        <v>0</v>
      </c>
      <c r="N19" s="299">
        <f t="shared" si="2"/>
        <v>0</v>
      </c>
    </row>
    <row r="20" spans="1:14" ht="14.25" customHeight="1">
      <c r="A20" s="1292"/>
      <c r="B20" s="338" t="s">
        <v>1452</v>
      </c>
      <c r="C20" s="402" t="s">
        <v>47</v>
      </c>
      <c r="D20" s="398">
        <f t="shared" si="0"/>
        <v>27723.497198900004</v>
      </c>
      <c r="E20" s="306">
        <f>D20/D17</f>
        <v>0.1849117406000178</v>
      </c>
      <c r="F20" s="299">
        <f>'5.1.1. Обсяги робіт'!F82</f>
        <v>4541.0390000000007</v>
      </c>
      <c r="G20" s="306">
        <f>F20/F17</f>
        <v>0.17960518918085988</v>
      </c>
      <c r="H20" s="403">
        <v>0.12</v>
      </c>
      <c r="I20" s="404">
        <f>H20/H17</f>
        <v>0.33333333333333331</v>
      </c>
      <c r="J20" s="323">
        <v>4</v>
      </c>
      <c r="K20" s="299">
        <f>F20*1.1</f>
        <v>4995.1429000000007</v>
      </c>
      <c r="L20" s="299">
        <f t="shared" si="2"/>
        <v>5494.6571900000008</v>
      </c>
      <c r="M20" s="299">
        <f t="shared" si="2"/>
        <v>6044.1229090000015</v>
      </c>
      <c r="N20" s="299">
        <f t="shared" si="2"/>
        <v>6648.5351999000022</v>
      </c>
    </row>
    <row r="21" spans="1:14" ht="14.25" customHeight="1">
      <c r="A21" s="1292"/>
      <c r="B21" s="338" t="s">
        <v>1453</v>
      </c>
      <c r="C21" s="402" t="s">
        <v>1688</v>
      </c>
      <c r="D21" s="398">
        <f t="shared" si="0"/>
        <v>122204.77187120001</v>
      </c>
      <c r="E21" s="306">
        <f>D21/D17</f>
        <v>0.8150882593999822</v>
      </c>
      <c r="F21" s="299">
        <f>'5.1.1. Обсяги робіт'!F99+'5.1.1. Обсяги робіт'!F21</f>
        <v>20742.411999999997</v>
      </c>
      <c r="G21" s="306">
        <f>F21/F17</f>
        <v>0.82039481081914012</v>
      </c>
      <c r="H21" s="407">
        <v>0.24</v>
      </c>
      <c r="I21" s="404">
        <f>H21/H17</f>
        <v>0.66666666666666663</v>
      </c>
      <c r="J21" s="323">
        <v>5</v>
      </c>
      <c r="K21" s="299">
        <v>21597.923199999997</v>
      </c>
      <c r="L21" s="299">
        <v>22003.70552</v>
      </c>
      <c r="M21" s="299">
        <v>27183.150072</v>
      </c>
      <c r="N21" s="299">
        <v>30677.581079200005</v>
      </c>
    </row>
    <row r="22" spans="1:14" ht="30">
      <c r="A22" s="1292"/>
      <c r="B22" s="338" t="s">
        <v>1450</v>
      </c>
      <c r="C22" s="338" t="s">
        <v>1447</v>
      </c>
      <c r="D22" s="398">
        <f t="shared" si="0"/>
        <v>122204.77187120001</v>
      </c>
      <c r="E22" s="306">
        <f>D22/D21</f>
        <v>1</v>
      </c>
      <c r="F22" s="299">
        <f>F21</f>
        <v>20742.411999999997</v>
      </c>
      <c r="G22" s="306">
        <f>F22/F17</f>
        <v>0.82039481081914012</v>
      </c>
      <c r="H22" s="403">
        <v>0.23100000000000001</v>
      </c>
      <c r="I22" s="404">
        <f>H22/H21</f>
        <v>0.96250000000000013</v>
      </c>
      <c r="J22" s="323">
        <v>5</v>
      </c>
      <c r="K22" s="299">
        <f>K21</f>
        <v>21597.923199999997</v>
      </c>
      <c r="L22" s="299">
        <f>L21</f>
        <v>22003.70552</v>
      </c>
      <c r="M22" s="299">
        <f>M21</f>
        <v>27183.150072</v>
      </c>
      <c r="N22" s="299">
        <f>N21</f>
        <v>30677.581079200005</v>
      </c>
    </row>
    <row r="23" spans="1:14" s="82" customFormat="1" ht="30" customHeight="1">
      <c r="A23" s="1273" t="s">
        <v>1759</v>
      </c>
      <c r="B23" s="1279" t="s">
        <v>671</v>
      </c>
      <c r="C23" s="1280"/>
      <c r="D23" s="398">
        <f t="shared" si="0"/>
        <v>15616.974007100009</v>
      </c>
      <c r="E23" s="399">
        <f>D23/D10</f>
        <v>8.577547758345784E-2</v>
      </c>
      <c r="F23" s="398">
        <f>SUM(F24:F26)</f>
        <v>2558.0210000000006</v>
      </c>
      <c r="G23" s="399">
        <f>F23/F10</f>
        <v>8.833496925498667E-2</v>
      </c>
      <c r="H23" s="398">
        <f>SUM(H24:H26)</f>
        <v>0.25</v>
      </c>
      <c r="I23" s="399">
        <f>H23/H10</f>
        <v>0.31304783370899075</v>
      </c>
      <c r="J23" s="405"/>
      <c r="K23" s="398">
        <f>SUM(K24:K26)</f>
        <v>2813.823100000001</v>
      </c>
      <c r="L23" s="398">
        <f t="shared" si="2"/>
        <v>3095.2054100000014</v>
      </c>
      <c r="M23" s="398">
        <f t="shared" si="2"/>
        <v>3404.7259510000017</v>
      </c>
      <c r="N23" s="398">
        <f t="shared" si="2"/>
        <v>3745.1985461000022</v>
      </c>
    </row>
    <row r="24" spans="1:14" s="82" customFormat="1">
      <c r="A24" s="1274"/>
      <c r="B24" s="338" t="s">
        <v>1454</v>
      </c>
      <c r="C24" s="402" t="s">
        <v>135</v>
      </c>
      <c r="D24" s="398">
        <f t="shared" si="0"/>
        <v>0</v>
      </c>
      <c r="E24" s="306">
        <f>D24/D23</f>
        <v>0</v>
      </c>
      <c r="F24" s="299">
        <v>0</v>
      </c>
      <c r="G24" s="306">
        <f>F24/F23</f>
        <v>0</v>
      </c>
      <c r="H24" s="299">
        <v>0</v>
      </c>
      <c r="I24" s="404">
        <f>H24/H23</f>
        <v>0</v>
      </c>
      <c r="J24" s="299"/>
      <c r="K24" s="299">
        <f>F24*1.1</f>
        <v>0</v>
      </c>
      <c r="L24" s="299">
        <f>K24*1.1</f>
        <v>0</v>
      </c>
      <c r="M24" s="299">
        <f>L24*1.1</f>
        <v>0</v>
      </c>
      <c r="N24" s="408">
        <f>M24*1.1</f>
        <v>0</v>
      </c>
    </row>
    <row r="25" spans="1:14" s="82" customFormat="1">
      <c r="A25" s="1274"/>
      <c r="B25" s="338" t="s">
        <v>1455</v>
      </c>
      <c r="C25" s="402" t="s">
        <v>1618</v>
      </c>
      <c r="D25" s="398">
        <f t="shared" si="0"/>
        <v>0</v>
      </c>
      <c r="E25" s="306">
        <f>D25/D23</f>
        <v>0</v>
      </c>
      <c r="F25" s="299">
        <v>0</v>
      </c>
      <c r="G25" s="306">
        <f>F25/F23</f>
        <v>0</v>
      </c>
      <c r="H25" s="299">
        <v>0</v>
      </c>
      <c r="I25" s="404">
        <f>H25/H23</f>
        <v>0</v>
      </c>
      <c r="J25" s="299"/>
      <c r="K25" s="299">
        <f>F25*1.1</f>
        <v>0</v>
      </c>
      <c r="L25" s="299">
        <f t="shared" ref="L25:N26" si="3">K25*1.1</f>
        <v>0</v>
      </c>
      <c r="M25" s="299">
        <f t="shared" si="3"/>
        <v>0</v>
      </c>
      <c r="N25" s="408">
        <f t="shared" si="3"/>
        <v>0</v>
      </c>
    </row>
    <row r="26" spans="1:14" s="82" customFormat="1" ht="17.25" customHeight="1">
      <c r="A26" s="1275"/>
      <c r="B26" s="338" t="s">
        <v>1456</v>
      </c>
      <c r="C26" s="402" t="s">
        <v>47</v>
      </c>
      <c r="D26" s="398">
        <f t="shared" si="0"/>
        <v>15616.974007100009</v>
      </c>
      <c r="E26" s="306">
        <f>D26/D23</f>
        <v>1</v>
      </c>
      <c r="F26" s="299">
        <f>'5.1.1. Обсяги робіт'!F121</f>
        <v>2558.0210000000006</v>
      </c>
      <c r="G26" s="306">
        <f>F26/F23</f>
        <v>1</v>
      </c>
      <c r="H26" s="409">
        <v>0.25</v>
      </c>
      <c r="I26" s="404">
        <f>H26/H23</f>
        <v>1</v>
      </c>
      <c r="J26" s="323">
        <v>4</v>
      </c>
      <c r="K26" s="299">
        <f>F26*1.1</f>
        <v>2813.823100000001</v>
      </c>
      <c r="L26" s="299">
        <f t="shared" si="3"/>
        <v>3095.2054100000014</v>
      </c>
      <c r="M26" s="299">
        <f t="shared" si="3"/>
        <v>3404.7259510000017</v>
      </c>
      <c r="N26" s="299">
        <f t="shared" si="3"/>
        <v>3745.1985461000022</v>
      </c>
    </row>
    <row r="27" spans="1:14" s="82" customFormat="1" ht="15" customHeight="1">
      <c r="A27" s="1273" t="s">
        <v>1760</v>
      </c>
      <c r="B27" s="1276" t="s">
        <v>137</v>
      </c>
      <c r="C27" s="1277"/>
      <c r="D27" s="398">
        <f t="shared" si="0"/>
        <v>16359.111642</v>
      </c>
      <c r="E27" s="399">
        <f>D27/D10</f>
        <v>8.9851632800035899E-2</v>
      </c>
      <c r="F27" s="398">
        <f>SUM(F28:F30)</f>
        <v>1089.9070000000002</v>
      </c>
      <c r="G27" s="399">
        <f>F27/F10</f>
        <v>3.7637259950483108E-2</v>
      </c>
      <c r="H27" s="398">
        <f>SUM(H28:H30)</f>
        <v>0.14000000000000001</v>
      </c>
      <c r="I27" s="399">
        <f>H27/H10</f>
        <v>0.17530678687703483</v>
      </c>
      <c r="J27" s="405"/>
      <c r="K27" s="398">
        <f>SUM(K28:K30)</f>
        <v>1671.1620000000003</v>
      </c>
      <c r="L27" s="398">
        <f>SUM(L28:L30)</f>
        <v>4040.8882000000003</v>
      </c>
      <c r="M27" s="398">
        <f>SUM(M28:M30)</f>
        <v>4652.6040199999998</v>
      </c>
      <c r="N27" s="398">
        <f>SUM(N28:N30)</f>
        <v>4904.5504220000003</v>
      </c>
    </row>
    <row r="28" spans="1:14" s="82" customFormat="1">
      <c r="A28" s="1274"/>
      <c r="B28" s="340" t="s">
        <v>1457</v>
      </c>
      <c r="C28" s="402" t="s">
        <v>136</v>
      </c>
      <c r="D28" s="398">
        <f t="shared" si="0"/>
        <v>12357.707000000002</v>
      </c>
      <c r="E28" s="306">
        <f>D28/D27</f>
        <v>0.75540208236449191</v>
      </c>
      <c r="F28" s="299">
        <f>'5.1.1. Обсяги робіт'!F109</f>
        <v>434.48700000000002</v>
      </c>
      <c r="G28" s="306">
        <f>F28/F27</f>
        <v>0.3986459395159403</v>
      </c>
      <c r="H28" s="299">
        <v>0.06</v>
      </c>
      <c r="I28" s="404">
        <f>H28/H27</f>
        <v>0.42857142857142849</v>
      </c>
      <c r="J28" s="897">
        <v>4</v>
      </c>
      <c r="K28" s="299">
        <f>950.6-0.4</f>
        <v>950.2</v>
      </c>
      <c r="L28" s="299">
        <f>3248.07-0.24</f>
        <v>3247.8300000000004</v>
      </c>
      <c r="M28" s="299">
        <f>3780.2+0.04</f>
        <v>3780.24</v>
      </c>
      <c r="N28" s="299">
        <f>3945.1-0.15</f>
        <v>3944.95</v>
      </c>
    </row>
    <row r="29" spans="1:14" s="82" customFormat="1">
      <c r="A29" s="1274"/>
      <c r="B29" s="340" t="s">
        <v>1458</v>
      </c>
      <c r="C29" s="402" t="s">
        <v>1618</v>
      </c>
      <c r="D29" s="398">
        <f t="shared" si="0"/>
        <v>4001.4046420000004</v>
      </c>
      <c r="E29" s="306">
        <f>D29/D27</f>
        <v>0.24459791763550828</v>
      </c>
      <c r="F29" s="299">
        <f>'5.1.1. Обсяги робіт'!F114</f>
        <v>655.42000000000007</v>
      </c>
      <c r="G29" s="306">
        <f>F29/F27</f>
        <v>0.60135406048405959</v>
      </c>
      <c r="H29" s="299">
        <v>0.08</v>
      </c>
      <c r="I29" s="404">
        <f>H29/H27</f>
        <v>0.5714285714285714</v>
      </c>
      <c r="J29" s="299"/>
      <c r="K29" s="299">
        <f>F29*1.1</f>
        <v>720.9620000000001</v>
      </c>
      <c r="L29" s="299">
        <f t="shared" ref="L29:N31" si="4">K29*1.1</f>
        <v>793.05820000000017</v>
      </c>
      <c r="M29" s="299">
        <f t="shared" si="4"/>
        <v>872.36402000000021</v>
      </c>
      <c r="N29" s="406">
        <f t="shared" si="4"/>
        <v>959.60042200000032</v>
      </c>
    </row>
    <row r="30" spans="1:14" s="82" customFormat="1">
      <c r="A30" s="1274"/>
      <c r="B30" s="340" t="s">
        <v>1459</v>
      </c>
      <c r="C30" s="402" t="s">
        <v>47</v>
      </c>
      <c r="D30" s="398">
        <f t="shared" si="0"/>
        <v>0</v>
      </c>
      <c r="E30" s="306">
        <f>D30/D27</f>
        <v>0</v>
      </c>
      <c r="F30" s="299">
        <v>0</v>
      </c>
      <c r="G30" s="306">
        <f>F30/F27</f>
        <v>0</v>
      </c>
      <c r="H30" s="299">
        <v>0</v>
      </c>
      <c r="I30" s="404">
        <f>H30/H27</f>
        <v>0</v>
      </c>
      <c r="J30" s="323">
        <v>4</v>
      </c>
      <c r="K30" s="299">
        <f>F30*1.1</f>
        <v>0</v>
      </c>
      <c r="L30" s="299">
        <f t="shared" si="4"/>
        <v>0</v>
      </c>
      <c r="M30" s="299">
        <f t="shared" si="4"/>
        <v>0</v>
      </c>
      <c r="N30" s="299">
        <f t="shared" si="4"/>
        <v>0</v>
      </c>
    </row>
    <row r="31" spans="1:14" s="82" customFormat="1" ht="15" customHeight="1">
      <c r="A31" s="1273" t="s">
        <v>1761</v>
      </c>
      <c r="B31" s="1278" t="s">
        <v>138</v>
      </c>
      <c r="C31" s="1278"/>
      <c r="D31" s="398">
        <f t="shared" si="0"/>
        <v>163.69604630000003</v>
      </c>
      <c r="E31" s="399">
        <f>D31/D10</f>
        <v>8.9909265031258708E-4</v>
      </c>
      <c r="F31" s="398">
        <f>SUM(F32:F34)</f>
        <v>26.813000000000002</v>
      </c>
      <c r="G31" s="399">
        <f>F31/F10</f>
        <v>9.2592106579029543E-4</v>
      </c>
      <c r="H31" s="398">
        <f>SUM(H32:H34)</f>
        <v>4.8599999999999997E-2</v>
      </c>
      <c r="I31" s="399">
        <f>H31/H10</f>
        <v>6.0856498873027798E-2</v>
      </c>
      <c r="J31" s="405"/>
      <c r="K31" s="398">
        <f>SUM(K32:K34)</f>
        <v>29.494300000000006</v>
      </c>
      <c r="L31" s="398">
        <f t="shared" si="4"/>
        <v>32.443730000000009</v>
      </c>
      <c r="M31" s="398">
        <f t="shared" si="4"/>
        <v>35.688103000000012</v>
      </c>
      <c r="N31" s="398">
        <f t="shared" si="4"/>
        <v>39.256913300000015</v>
      </c>
    </row>
    <row r="32" spans="1:14" s="82" customFormat="1">
      <c r="A32" s="1274"/>
      <c r="B32" s="338" t="s">
        <v>1460</v>
      </c>
      <c r="C32" s="402" t="s">
        <v>136</v>
      </c>
      <c r="D32" s="398">
        <f t="shared" si="0"/>
        <v>163.69604630000003</v>
      </c>
      <c r="E32" s="306">
        <f>D32/D31</f>
        <v>1</v>
      </c>
      <c r="F32" s="299">
        <f>'5.1.1. Обсяги робіт'!F112</f>
        <v>26.813000000000002</v>
      </c>
      <c r="G32" s="306">
        <f>F32/F31</f>
        <v>1</v>
      </c>
      <c r="H32" s="299">
        <v>4.8599999999999997E-2</v>
      </c>
      <c r="I32" s="404">
        <f>H32/H31</f>
        <v>1</v>
      </c>
      <c r="J32" s="323">
        <v>2</v>
      </c>
      <c r="K32" s="299">
        <f>F32*1.1</f>
        <v>29.494300000000006</v>
      </c>
      <c r="L32" s="299">
        <f>K32*1.1</f>
        <v>32.443730000000009</v>
      </c>
      <c r="M32" s="299">
        <f>L32*1.1</f>
        <v>35.688103000000012</v>
      </c>
      <c r="N32" s="406">
        <f>M32*1.1</f>
        <v>39.256913300000015</v>
      </c>
    </row>
    <row r="33" spans="1:14" s="82" customFormat="1">
      <c r="A33" s="1274"/>
      <c r="B33" s="338" t="s">
        <v>1461</v>
      </c>
      <c r="C33" s="402" t="s">
        <v>1618</v>
      </c>
      <c r="D33" s="398">
        <f t="shared" si="0"/>
        <v>0</v>
      </c>
      <c r="E33" s="306">
        <f>D33/D31</f>
        <v>0</v>
      </c>
      <c r="F33" s="299">
        <v>0</v>
      </c>
      <c r="G33" s="306">
        <f>F33/F31</f>
        <v>0</v>
      </c>
      <c r="H33" s="299">
        <v>0</v>
      </c>
      <c r="I33" s="404">
        <f>H33/H31</f>
        <v>0</v>
      </c>
      <c r="J33" s="323"/>
      <c r="K33" s="299">
        <f>F33*1.1</f>
        <v>0</v>
      </c>
      <c r="L33" s="299">
        <f t="shared" ref="L33:N34" si="5">K33*1.1</f>
        <v>0</v>
      </c>
      <c r="M33" s="299">
        <f t="shared" si="5"/>
        <v>0</v>
      </c>
      <c r="N33" s="408">
        <f t="shared" si="5"/>
        <v>0</v>
      </c>
    </row>
    <row r="34" spans="1:14" s="82" customFormat="1">
      <c r="A34" s="1275"/>
      <c r="B34" s="338" t="s">
        <v>1448</v>
      </c>
      <c r="C34" s="402" t="s">
        <v>47</v>
      </c>
      <c r="D34" s="398">
        <f t="shared" si="0"/>
        <v>0</v>
      </c>
      <c r="E34" s="306">
        <f>D34/D31</f>
        <v>0</v>
      </c>
      <c r="F34" s="299">
        <v>0</v>
      </c>
      <c r="G34" s="306">
        <f>F34/F31</f>
        <v>0</v>
      </c>
      <c r="H34" s="299">
        <v>0</v>
      </c>
      <c r="I34" s="404">
        <f>H34/H31</f>
        <v>0</v>
      </c>
      <c r="J34" s="323"/>
      <c r="K34" s="299">
        <f>F34*1.1</f>
        <v>0</v>
      </c>
      <c r="L34" s="299">
        <f t="shared" si="5"/>
        <v>0</v>
      </c>
      <c r="M34" s="299">
        <f t="shared" si="5"/>
        <v>0</v>
      </c>
      <c r="N34" s="406">
        <f t="shared" si="5"/>
        <v>0</v>
      </c>
    </row>
    <row r="35" spans="1:14" ht="13.5" customHeight="1">
      <c r="A35" s="355" t="s">
        <v>1739</v>
      </c>
      <c r="B35" s="1278" t="s">
        <v>1536</v>
      </c>
      <c r="C35" s="1278"/>
      <c r="D35" s="398">
        <f t="shared" si="0"/>
        <v>1070.288</v>
      </c>
      <c r="E35" s="399">
        <v>0</v>
      </c>
      <c r="F35" s="410">
        <f>'5.1.1. Обсяги робіт'!F105+'5.1.1. Обсяги робіт'!F167</f>
        <v>836.28800000000001</v>
      </c>
      <c r="G35" s="399">
        <v>0</v>
      </c>
      <c r="H35" s="410">
        <v>6.4000000000000001E-2</v>
      </c>
      <c r="I35" s="400">
        <f>H35/H10</f>
        <v>8.0140245429501628E-2</v>
      </c>
      <c r="J35" s="323">
        <v>5</v>
      </c>
      <c r="K35" s="410">
        <f>'5.7. Інше'!H9</f>
        <v>62</v>
      </c>
      <c r="L35" s="410">
        <f>'5.7. Інше'!I9</f>
        <v>62</v>
      </c>
      <c r="M35" s="410">
        <f>'5.7. Інше'!J9</f>
        <v>65</v>
      </c>
      <c r="N35" s="410">
        <f>'5.7. Інше'!K9</f>
        <v>45</v>
      </c>
    </row>
    <row r="36" spans="1:14" ht="13.5" customHeight="1">
      <c r="A36" s="1270" t="s">
        <v>14</v>
      </c>
      <c r="B36" s="1271"/>
      <c r="C36" s="1272"/>
      <c r="D36" s="739">
        <f t="shared" si="0"/>
        <v>183138.3387655</v>
      </c>
      <c r="E36" s="740">
        <v>1</v>
      </c>
      <c r="F36" s="739">
        <f>SUM(F35,F31,F27,F23,F17,F11)</f>
        <v>29794.479999999996</v>
      </c>
      <c r="G36" s="740">
        <v>1</v>
      </c>
      <c r="H36" s="739">
        <f>SUM(H10,H35)</f>
        <v>0.86260000000000003</v>
      </c>
      <c r="I36" s="741">
        <v>1</v>
      </c>
      <c r="J36" s="742"/>
      <c r="K36" s="739">
        <f>SUM(K10,K35)</f>
        <v>31169.545499999997</v>
      </c>
      <c r="L36" s="739">
        <f>SUM(L10,L35)</f>
        <v>34728.900050000004</v>
      </c>
      <c r="M36" s="739">
        <f>SUM(M10,M35)</f>
        <v>41385.291055000002</v>
      </c>
      <c r="N36" s="739">
        <f>SUM(N10,N35)</f>
        <v>46060.12216050001</v>
      </c>
    </row>
    <row r="37" spans="1:14" s="134" customFormat="1"/>
  </sheetData>
  <mergeCells count="31">
    <mergeCell ref="L6:L8"/>
    <mergeCell ref="A17:A22"/>
    <mergeCell ref="B17:C17"/>
    <mergeCell ref="B9:C9"/>
    <mergeCell ref="B10:C10"/>
    <mergeCell ref="A11:A16"/>
    <mergeCell ref="B11:C11"/>
    <mergeCell ref="L1:N1"/>
    <mergeCell ref="H7:I7"/>
    <mergeCell ref="J7:J8"/>
    <mergeCell ref="A3:N3"/>
    <mergeCell ref="A4:A8"/>
    <mergeCell ref="B4:C8"/>
    <mergeCell ref="F4:N4"/>
    <mergeCell ref="F5:J5"/>
    <mergeCell ref="D4:E5"/>
    <mergeCell ref="D6:D8"/>
    <mergeCell ref="N6:N8"/>
    <mergeCell ref="E6:E8"/>
    <mergeCell ref="K6:K8"/>
    <mergeCell ref="F6:G7"/>
    <mergeCell ref="H6:J6"/>
    <mergeCell ref="M6:M8"/>
    <mergeCell ref="A36:C36"/>
    <mergeCell ref="A23:A26"/>
    <mergeCell ref="B27:C27"/>
    <mergeCell ref="A27:A30"/>
    <mergeCell ref="A31:A34"/>
    <mergeCell ref="B31:C31"/>
    <mergeCell ref="B35:C35"/>
    <mergeCell ref="B23:C23"/>
  </mergeCells>
  <phoneticPr fontId="2" type="noConversion"/>
  <pageMargins left="0.94488188976377963" right="0.35433070866141736" top="0.43307086614173229" bottom="0.35433070866141736" header="0.31496062992125984" footer="0.27559055118110237"/>
  <pageSetup paperSize="9" scale="80" orientation="landscape" r:id="rId1"/>
  <headerFooter alignWithMargins="0"/>
</worksheet>
</file>

<file path=xl/worksheets/sheet23.xml><?xml version="1.0" encoding="utf-8"?>
<worksheet xmlns="http://schemas.openxmlformats.org/spreadsheetml/2006/main" xmlns:r="http://schemas.openxmlformats.org/officeDocument/2006/relationships">
  <sheetPr>
    <tabColor rgb="FF00B0F0"/>
  </sheetPr>
  <dimension ref="A1:Q173"/>
  <sheetViews>
    <sheetView view="pageBreakPreview" topLeftCell="A157" zoomScale="85" zoomScaleNormal="100" zoomScaleSheetLayoutView="85" zoomScalePageLayoutView="70" workbookViewId="0">
      <selection activeCell="G168" sqref="G168"/>
    </sheetView>
  </sheetViews>
  <sheetFormatPr defaultRowHeight="15"/>
  <cols>
    <col min="1" max="1" width="9" style="813" customWidth="1"/>
    <col min="2" max="2" width="13.28515625" style="813" customWidth="1"/>
    <col min="3" max="3" width="39.140625" style="813" customWidth="1"/>
    <col min="4" max="4" width="16.140625" style="813" customWidth="1"/>
    <col min="5" max="5" width="15.28515625" style="813" customWidth="1"/>
    <col min="6" max="6" width="18.28515625" style="813" customWidth="1"/>
    <col min="7" max="7" width="19.85546875" style="813" customWidth="1"/>
    <col min="8" max="8" width="17.7109375" style="813" customWidth="1"/>
    <col min="9" max="9" width="13.28515625" style="813" customWidth="1"/>
    <col min="10" max="10" width="9.5703125" style="813" customWidth="1"/>
    <col min="11" max="16384" width="9.140625" style="813"/>
  </cols>
  <sheetData>
    <row r="1" spans="1:17" s="747" customFormat="1" ht="15.75" customHeight="1">
      <c r="A1" s="743"/>
      <c r="B1" s="743"/>
      <c r="C1" s="743"/>
      <c r="D1" s="743"/>
      <c r="E1" s="743"/>
      <c r="F1" s="743"/>
      <c r="G1" s="744"/>
      <c r="H1" s="745"/>
      <c r="I1" s="745"/>
      <c r="J1" s="745"/>
      <c r="K1" s="746"/>
    </row>
    <row r="2" spans="1:17" ht="39" customHeight="1">
      <c r="A2" s="1296" t="s">
        <v>470</v>
      </c>
      <c r="B2" s="1296"/>
      <c r="C2" s="1297"/>
      <c r="D2" s="1297"/>
      <c r="E2" s="1297"/>
      <c r="F2" s="1297"/>
      <c r="G2" s="1297"/>
      <c r="H2" s="1297"/>
      <c r="I2" s="1297"/>
      <c r="J2" s="1297"/>
      <c r="K2" s="748"/>
      <c r="L2" s="748"/>
      <c r="M2" s="748"/>
      <c r="N2" s="748"/>
      <c r="O2" s="748"/>
      <c r="P2" s="748"/>
      <c r="Q2" s="748"/>
    </row>
    <row r="3" spans="1:17" ht="28.5" customHeight="1">
      <c r="A3" s="976" t="s">
        <v>1531</v>
      </c>
      <c r="B3" s="976" t="s">
        <v>132</v>
      </c>
      <c r="C3" s="976" t="s">
        <v>34</v>
      </c>
      <c r="D3" s="976" t="s">
        <v>288</v>
      </c>
      <c r="E3" s="1298" t="s">
        <v>131</v>
      </c>
      <c r="F3" s="1298"/>
      <c r="G3" s="1298" t="s">
        <v>68</v>
      </c>
      <c r="H3" s="1298" t="s">
        <v>69</v>
      </c>
      <c r="I3" s="1298" t="s">
        <v>83</v>
      </c>
      <c r="J3" s="1299" t="s">
        <v>1584</v>
      </c>
    </row>
    <row r="4" spans="1:17" ht="49.5" customHeight="1">
      <c r="A4" s="976"/>
      <c r="B4" s="976"/>
      <c r="C4" s="976"/>
      <c r="D4" s="976"/>
      <c r="E4" s="408" t="s">
        <v>1747</v>
      </c>
      <c r="F4" s="408" t="s">
        <v>289</v>
      </c>
      <c r="G4" s="1298"/>
      <c r="H4" s="1298"/>
      <c r="I4" s="1298"/>
      <c r="J4" s="1299"/>
    </row>
    <row r="5" spans="1:17" ht="14.25" customHeight="1">
      <c r="A5" s="749">
        <v>1</v>
      </c>
      <c r="B5" s="749">
        <v>2</v>
      </c>
      <c r="C5" s="749">
        <v>3</v>
      </c>
      <c r="D5" s="749">
        <v>4</v>
      </c>
      <c r="E5" s="749">
        <v>5</v>
      </c>
      <c r="F5" s="749">
        <v>6</v>
      </c>
      <c r="G5" s="749">
        <v>7</v>
      </c>
      <c r="H5" s="749">
        <v>8</v>
      </c>
      <c r="I5" s="749">
        <v>9</v>
      </c>
      <c r="J5" s="750">
        <v>10</v>
      </c>
    </row>
    <row r="6" spans="1:17" ht="14.25" customHeight="1">
      <c r="A6" s="348" t="s">
        <v>1695</v>
      </c>
      <c r="B6" s="349"/>
      <c r="C6" s="350" t="s">
        <v>35</v>
      </c>
      <c r="D6" s="350"/>
      <c r="E6" s="353"/>
      <c r="F6" s="352">
        <v>0</v>
      </c>
      <c r="G6" s="353"/>
      <c r="H6" s="353"/>
      <c r="I6" s="353"/>
      <c r="J6" s="354"/>
    </row>
    <row r="7" spans="1:17" ht="14.25" customHeight="1">
      <c r="A7" s="355" t="s">
        <v>1693</v>
      </c>
      <c r="B7" s="356"/>
      <c r="C7" s="357" t="s">
        <v>36</v>
      </c>
      <c r="D7" s="285"/>
      <c r="E7" s="360"/>
      <c r="F7" s="359">
        <v>0</v>
      </c>
      <c r="G7" s="360"/>
      <c r="H7" s="360"/>
      <c r="I7" s="360"/>
      <c r="J7" s="361"/>
    </row>
    <row r="8" spans="1:17" ht="14.25" customHeight="1">
      <c r="A8" s="338" t="s">
        <v>1696</v>
      </c>
      <c r="B8" s="356"/>
      <c r="C8" s="285"/>
      <c r="D8" s="285"/>
      <c r="E8" s="365"/>
      <c r="F8" s="366"/>
      <c r="G8" s="365"/>
      <c r="H8" s="365"/>
      <c r="I8" s="365"/>
      <c r="J8" s="361"/>
    </row>
    <row r="9" spans="1:17" ht="14.25" customHeight="1">
      <c r="A9" s="355" t="s">
        <v>1694</v>
      </c>
      <c r="B9" s="356"/>
      <c r="C9" s="357" t="s">
        <v>37</v>
      </c>
      <c r="D9" s="285"/>
      <c r="E9" s="365"/>
      <c r="F9" s="366">
        <v>0</v>
      </c>
      <c r="G9" s="365"/>
      <c r="H9" s="365"/>
      <c r="I9" s="365"/>
      <c r="J9" s="361"/>
    </row>
    <row r="10" spans="1:17" ht="14.25" customHeight="1">
      <c r="A10" s="338" t="s">
        <v>1697</v>
      </c>
      <c r="B10" s="356"/>
      <c r="C10" s="361"/>
      <c r="D10" s="361"/>
      <c r="E10" s="365"/>
      <c r="F10" s="366"/>
      <c r="G10" s="365"/>
      <c r="H10" s="365"/>
      <c r="I10" s="365"/>
      <c r="J10" s="361"/>
    </row>
    <row r="11" spans="1:17" ht="14.25" customHeight="1">
      <c r="A11" s="348" t="s">
        <v>1739</v>
      </c>
      <c r="B11" s="349"/>
      <c r="C11" s="350" t="s">
        <v>38</v>
      </c>
      <c r="D11" s="350"/>
      <c r="E11" s="353"/>
      <c r="F11" s="352">
        <v>0</v>
      </c>
      <c r="G11" s="353"/>
      <c r="H11" s="353"/>
      <c r="I11" s="353"/>
      <c r="J11" s="354"/>
    </row>
    <row r="12" spans="1:17" ht="14.25" customHeight="1">
      <c r="A12" s="355" t="s">
        <v>1698</v>
      </c>
      <c r="B12" s="356"/>
      <c r="C12" s="357" t="s">
        <v>36</v>
      </c>
      <c r="D12" s="285"/>
      <c r="E12" s="360"/>
      <c r="F12" s="359">
        <v>0</v>
      </c>
      <c r="G12" s="360"/>
      <c r="H12" s="360"/>
      <c r="I12" s="360"/>
      <c r="J12" s="361"/>
    </row>
    <row r="13" spans="1:17" ht="14.25" customHeight="1">
      <c r="A13" s="338" t="s">
        <v>1699</v>
      </c>
      <c r="B13" s="356"/>
      <c r="C13" s="285"/>
      <c r="D13" s="285"/>
      <c r="E13" s="365"/>
      <c r="F13" s="366"/>
      <c r="G13" s="365"/>
      <c r="H13" s="365"/>
      <c r="I13" s="365"/>
      <c r="J13" s="361"/>
    </row>
    <row r="14" spans="1:17" ht="14.25" customHeight="1">
      <c r="A14" s="355" t="s">
        <v>1700</v>
      </c>
      <c r="B14" s="356"/>
      <c r="C14" s="357" t="s">
        <v>37</v>
      </c>
      <c r="D14" s="285"/>
      <c r="E14" s="365"/>
      <c r="F14" s="366">
        <v>0</v>
      </c>
      <c r="G14" s="365"/>
      <c r="H14" s="365"/>
      <c r="I14" s="365"/>
      <c r="J14" s="361"/>
    </row>
    <row r="15" spans="1:17" ht="14.25" customHeight="1">
      <c r="A15" s="338" t="s">
        <v>1701</v>
      </c>
      <c r="B15" s="356"/>
      <c r="C15" s="361"/>
      <c r="D15" s="361"/>
      <c r="E15" s="365"/>
      <c r="F15" s="365"/>
      <c r="G15" s="365"/>
      <c r="H15" s="365"/>
      <c r="I15" s="365"/>
      <c r="J15" s="361"/>
    </row>
    <row r="16" spans="1:17" ht="14.25" customHeight="1">
      <c r="A16" s="348" t="s">
        <v>1740</v>
      </c>
      <c r="B16" s="349"/>
      <c r="C16" s="350" t="s">
        <v>39</v>
      </c>
      <c r="D16" s="351"/>
      <c r="E16" s="352"/>
      <c r="F16" s="352">
        <f>F17</f>
        <v>0</v>
      </c>
      <c r="G16" s="353"/>
      <c r="H16" s="353"/>
      <c r="I16" s="353"/>
      <c r="J16" s="354"/>
    </row>
    <row r="17" spans="1:10" ht="14.25" customHeight="1">
      <c r="A17" s="355" t="s">
        <v>1702</v>
      </c>
      <c r="B17" s="356"/>
      <c r="C17" s="357" t="s">
        <v>36</v>
      </c>
      <c r="D17" s="358"/>
      <c r="E17" s="359"/>
      <c r="F17" s="359">
        <f>F18</f>
        <v>0</v>
      </c>
      <c r="G17" s="360"/>
      <c r="H17" s="360"/>
      <c r="I17" s="360"/>
      <c r="J17" s="361"/>
    </row>
    <row r="18" spans="1:10" ht="16.5" customHeight="1">
      <c r="A18" s="362" t="s">
        <v>584</v>
      </c>
      <c r="B18" s="338"/>
      <c r="C18" s="751"/>
      <c r="D18" s="673"/>
      <c r="E18" s="365"/>
      <c r="F18" s="365"/>
      <c r="G18" s="752"/>
      <c r="H18" s="364"/>
      <c r="I18" s="365"/>
      <c r="J18" s="361"/>
    </row>
    <row r="19" spans="1:10" ht="16.5" customHeight="1">
      <c r="A19" s="355" t="s">
        <v>1704</v>
      </c>
      <c r="B19" s="356"/>
      <c r="C19" s="357" t="s">
        <v>37</v>
      </c>
      <c r="D19" s="285"/>
      <c r="E19" s="366"/>
      <c r="F19" s="372">
        <v>0</v>
      </c>
      <c r="G19" s="365"/>
      <c r="H19" s="365"/>
      <c r="I19" s="365"/>
      <c r="J19" s="361"/>
    </row>
    <row r="20" spans="1:10">
      <c r="A20" s="338" t="s">
        <v>1705</v>
      </c>
      <c r="B20" s="356"/>
      <c r="C20" s="285"/>
      <c r="D20" s="285"/>
      <c r="E20" s="365"/>
      <c r="F20" s="365"/>
      <c r="G20" s="365"/>
      <c r="H20" s="365"/>
      <c r="I20" s="365"/>
      <c r="J20" s="361"/>
    </row>
    <row r="21" spans="1:10">
      <c r="A21" s="348" t="s">
        <v>1741</v>
      </c>
      <c r="B21" s="349"/>
      <c r="C21" s="350" t="s">
        <v>40</v>
      </c>
      <c r="D21" s="351"/>
      <c r="E21" s="352"/>
      <c r="F21" s="814">
        <f>F24+F67+F68</f>
        <v>20116.827999999998</v>
      </c>
      <c r="G21" s="353"/>
      <c r="H21" s="353"/>
      <c r="I21" s="353"/>
      <c r="J21" s="354"/>
    </row>
    <row r="22" spans="1:10">
      <c r="A22" s="355" t="s">
        <v>1706</v>
      </c>
      <c r="B22" s="356"/>
      <c r="C22" s="357" t="s">
        <v>36</v>
      </c>
      <c r="D22" s="358"/>
      <c r="E22" s="375"/>
      <c r="F22" s="375">
        <v>0</v>
      </c>
      <c r="G22" s="360"/>
      <c r="H22" s="360"/>
      <c r="I22" s="360"/>
      <c r="J22" s="361"/>
    </row>
    <row r="23" spans="1:10">
      <c r="A23" s="338" t="s">
        <v>1707</v>
      </c>
      <c r="B23" s="356"/>
      <c r="C23" s="370"/>
      <c r="D23" s="371"/>
      <c r="E23" s="365"/>
      <c r="F23" s="365"/>
      <c r="G23" s="365"/>
      <c r="H23" s="365"/>
      <c r="I23" s="365"/>
      <c r="J23" s="361"/>
    </row>
    <row r="24" spans="1:10" ht="27.75" customHeight="1">
      <c r="A24" s="355" t="s">
        <v>1708</v>
      </c>
      <c r="B24" s="356"/>
      <c r="C24" s="357" t="s">
        <v>1736</v>
      </c>
      <c r="D24" s="381">
        <f t="shared" ref="D24:D65" si="0">F24/E24</f>
        <v>196.87738353595586</v>
      </c>
      <c r="E24" s="815">
        <f>E25+E26+E27+E30+E31+E33+E34+E35+E36+E37+E38+E39+E40+E41+E42+E43+E44+E46+E47+E48+E49+E50+E51+E53+E54+E56+E57+E59+E61+E62+E63+E64+E65</f>
        <v>94.921999999999983</v>
      </c>
      <c r="F24" s="816">
        <f>F25+F26+F27+F28+F29+F30+F31+F32+F33+F34+F35+F36+F37+F38+F39+F40+F41+F42+F43+F44+F45+F46+F47+F48+F49+F50+F51+F52+F53+F54+F55+F56+F57+F58+F59+F60+F61+F62+F63+F64+F65</f>
        <v>18687.994999999999</v>
      </c>
      <c r="G24" s="365"/>
      <c r="H24" s="365"/>
      <c r="I24" s="365"/>
      <c r="J24" s="361"/>
    </row>
    <row r="25" spans="1:10" ht="28.5">
      <c r="A25" s="338" t="s">
        <v>1709</v>
      </c>
      <c r="B25" s="338" t="s">
        <v>599</v>
      </c>
      <c r="C25" s="751" t="s">
        <v>295</v>
      </c>
      <c r="D25" s="673">
        <f t="shared" si="0"/>
        <v>200</v>
      </c>
      <c r="E25" s="758">
        <v>4.3310000000000004</v>
      </c>
      <c r="F25" s="674">
        <v>866.2</v>
      </c>
      <c r="G25" s="752" t="s">
        <v>586</v>
      </c>
      <c r="H25" s="364" t="s">
        <v>587</v>
      </c>
      <c r="I25" s="365"/>
      <c r="J25" s="361"/>
    </row>
    <row r="26" spans="1:10" ht="28.5">
      <c r="A26" s="338" t="s">
        <v>1737</v>
      </c>
      <c r="B26" s="338" t="s">
        <v>293</v>
      </c>
      <c r="C26" s="759" t="s">
        <v>294</v>
      </c>
      <c r="D26" s="673">
        <f t="shared" si="0"/>
        <v>194.57083782811938</v>
      </c>
      <c r="E26" s="374">
        <v>5.5620000000000003</v>
      </c>
      <c r="F26" s="674">
        <v>1082.203</v>
      </c>
      <c r="G26" s="757" t="s">
        <v>586</v>
      </c>
      <c r="H26" s="364" t="s">
        <v>587</v>
      </c>
      <c r="I26" s="365"/>
      <c r="J26" s="361"/>
    </row>
    <row r="27" spans="1:10">
      <c r="A27" s="338" t="s">
        <v>1738</v>
      </c>
      <c r="B27" s="338" t="s">
        <v>293</v>
      </c>
      <c r="C27" s="761" t="s">
        <v>362</v>
      </c>
      <c r="D27" s="762">
        <f t="shared" si="0"/>
        <v>143.05391190006577</v>
      </c>
      <c r="E27" s="763">
        <v>1.5209999999999999</v>
      </c>
      <c r="F27" s="764">
        <v>217.58500000000001</v>
      </c>
      <c r="G27" s="757" t="s">
        <v>586</v>
      </c>
      <c r="H27" s="364" t="s">
        <v>587</v>
      </c>
      <c r="I27" s="365"/>
      <c r="J27" s="361"/>
    </row>
    <row r="28" spans="1:10" ht="25.5">
      <c r="A28" s="338" t="s">
        <v>609</v>
      </c>
      <c r="B28" s="338" t="s">
        <v>293</v>
      </c>
      <c r="C28" s="765" t="s">
        <v>363</v>
      </c>
      <c r="D28" s="766">
        <f t="shared" si="0"/>
        <v>63</v>
      </c>
      <c r="E28" s="767">
        <v>1</v>
      </c>
      <c r="F28" s="764">
        <v>63</v>
      </c>
      <c r="G28" s="757" t="s">
        <v>586</v>
      </c>
      <c r="H28" s="364" t="s">
        <v>587</v>
      </c>
      <c r="I28" s="365"/>
      <c r="J28" s="361"/>
    </row>
    <row r="29" spans="1:10" ht="29.1" customHeight="1">
      <c r="A29" s="338" t="s">
        <v>611</v>
      </c>
      <c r="B29" s="338" t="s">
        <v>293</v>
      </c>
      <c r="C29" s="765" t="s">
        <v>364</v>
      </c>
      <c r="D29" s="766">
        <f t="shared" si="0"/>
        <v>63</v>
      </c>
      <c r="E29" s="767">
        <v>1</v>
      </c>
      <c r="F29" s="764">
        <v>63</v>
      </c>
      <c r="G29" s="757" t="s">
        <v>586</v>
      </c>
      <c r="H29" s="364" t="s">
        <v>587</v>
      </c>
      <c r="I29" s="365"/>
      <c r="J29" s="361"/>
    </row>
    <row r="30" spans="1:10" ht="28.5" customHeight="1">
      <c r="A30" s="338" t="s">
        <v>365</v>
      </c>
      <c r="B30" s="338" t="s">
        <v>597</v>
      </c>
      <c r="C30" s="759" t="s">
        <v>1243</v>
      </c>
      <c r="D30" s="673">
        <f t="shared" si="0"/>
        <v>174.5783950617284</v>
      </c>
      <c r="E30" s="374">
        <v>1.62</v>
      </c>
      <c r="F30" s="760">
        <v>282.81700000000001</v>
      </c>
      <c r="G30" s="757" t="s">
        <v>586</v>
      </c>
      <c r="H30" s="364" t="s">
        <v>587</v>
      </c>
      <c r="I30" s="365"/>
      <c r="J30" s="361"/>
    </row>
    <row r="31" spans="1:10">
      <c r="A31" s="338" t="s">
        <v>366</v>
      </c>
      <c r="B31" s="338" t="s">
        <v>597</v>
      </c>
      <c r="C31" s="768" t="s">
        <v>367</v>
      </c>
      <c r="D31" s="762">
        <f t="shared" si="0"/>
        <v>166.66666666666669</v>
      </c>
      <c r="E31" s="763">
        <v>0.09</v>
      </c>
      <c r="F31" s="764">
        <v>15</v>
      </c>
      <c r="G31" s="757" t="s">
        <v>586</v>
      </c>
      <c r="H31" s="364" t="s">
        <v>587</v>
      </c>
      <c r="I31" s="365"/>
      <c r="J31" s="361"/>
    </row>
    <row r="32" spans="1:10" ht="30.75" customHeight="1">
      <c r="A32" s="338" t="s">
        <v>368</v>
      </c>
      <c r="B32" s="338" t="s">
        <v>597</v>
      </c>
      <c r="C32" s="765" t="s">
        <v>369</v>
      </c>
      <c r="D32" s="766">
        <f t="shared" si="0"/>
        <v>58.332999999999998</v>
      </c>
      <c r="E32" s="767">
        <v>1</v>
      </c>
      <c r="F32" s="764">
        <v>58.332999999999998</v>
      </c>
      <c r="G32" s="757" t="s">
        <v>586</v>
      </c>
      <c r="H32" s="364" t="s">
        <v>587</v>
      </c>
      <c r="I32" s="365"/>
      <c r="J32" s="361"/>
    </row>
    <row r="33" spans="1:10" ht="28.5" customHeight="1">
      <c r="A33" s="338" t="s">
        <v>370</v>
      </c>
      <c r="B33" s="338" t="s">
        <v>619</v>
      </c>
      <c r="C33" s="759" t="s">
        <v>1244</v>
      </c>
      <c r="D33" s="673">
        <f t="shared" si="0"/>
        <v>201.48523002421308</v>
      </c>
      <c r="E33" s="374">
        <v>2.0649999999999999</v>
      </c>
      <c r="F33" s="760">
        <v>416.06700000000001</v>
      </c>
      <c r="G33" s="757" t="s">
        <v>586</v>
      </c>
      <c r="H33" s="364" t="s">
        <v>587</v>
      </c>
      <c r="I33" s="365"/>
      <c r="J33" s="361"/>
    </row>
    <row r="34" spans="1:10" ht="28.5" customHeight="1">
      <c r="A34" s="338" t="s">
        <v>371</v>
      </c>
      <c r="B34" s="338" t="s">
        <v>620</v>
      </c>
      <c r="C34" s="759" t="s">
        <v>1245</v>
      </c>
      <c r="D34" s="673">
        <f t="shared" si="0"/>
        <v>191.30403508771929</v>
      </c>
      <c r="E34" s="374">
        <v>5.7</v>
      </c>
      <c r="F34" s="760">
        <v>1090.433</v>
      </c>
      <c r="G34" s="757" t="s">
        <v>586</v>
      </c>
      <c r="H34" s="364" t="s">
        <v>587</v>
      </c>
      <c r="I34" s="365"/>
      <c r="J34" s="361"/>
    </row>
    <row r="35" spans="1:10" ht="30" customHeight="1">
      <c r="A35" s="338" t="s">
        <v>372</v>
      </c>
      <c r="B35" s="338" t="s">
        <v>608</v>
      </c>
      <c r="C35" s="769" t="s">
        <v>1238</v>
      </c>
      <c r="D35" s="673">
        <f t="shared" si="0"/>
        <v>201.11921097770156</v>
      </c>
      <c r="E35" s="368">
        <v>5.83</v>
      </c>
      <c r="F35" s="760">
        <v>1172.5250000000001</v>
      </c>
      <c r="G35" s="757" t="s">
        <v>586</v>
      </c>
      <c r="H35" s="364" t="s">
        <v>587</v>
      </c>
      <c r="I35" s="365"/>
      <c r="J35" s="361"/>
    </row>
    <row r="36" spans="1:10" ht="30" customHeight="1">
      <c r="A36" s="338" t="s">
        <v>373</v>
      </c>
      <c r="B36" s="338" t="s">
        <v>598</v>
      </c>
      <c r="C36" s="759" t="s">
        <v>1246</v>
      </c>
      <c r="D36" s="673">
        <f t="shared" si="0"/>
        <v>200.46331138287866</v>
      </c>
      <c r="E36" s="374">
        <v>2.1259999999999999</v>
      </c>
      <c r="F36" s="674">
        <v>426.185</v>
      </c>
      <c r="G36" s="757" t="s">
        <v>586</v>
      </c>
      <c r="H36" s="364" t="s">
        <v>587</v>
      </c>
      <c r="I36" s="365"/>
      <c r="J36" s="361"/>
    </row>
    <row r="37" spans="1:10" ht="25.5">
      <c r="A37" s="338" t="s">
        <v>374</v>
      </c>
      <c r="B37" s="666">
        <v>2000010</v>
      </c>
      <c r="C37" s="768" t="s">
        <v>375</v>
      </c>
      <c r="D37" s="762">
        <f t="shared" si="0"/>
        <v>187.46913580246911</v>
      </c>
      <c r="E37" s="770">
        <v>0.40500000000000003</v>
      </c>
      <c r="F37" s="770">
        <v>75.924999999999997</v>
      </c>
      <c r="G37" s="757" t="s">
        <v>586</v>
      </c>
      <c r="H37" s="364" t="s">
        <v>587</v>
      </c>
      <c r="I37" s="365"/>
      <c r="J37" s="361"/>
    </row>
    <row r="38" spans="1:10" ht="28.5">
      <c r="A38" s="338" t="s">
        <v>376</v>
      </c>
      <c r="B38" s="338" t="s">
        <v>1236</v>
      </c>
      <c r="C38" s="759" t="s">
        <v>1252</v>
      </c>
      <c r="D38" s="673">
        <f t="shared" si="0"/>
        <v>203.40189328743543</v>
      </c>
      <c r="E38" s="374">
        <v>3.4860000000000002</v>
      </c>
      <c r="F38" s="674">
        <v>709.05899999999997</v>
      </c>
      <c r="G38" s="757" t="s">
        <v>586</v>
      </c>
      <c r="H38" s="364" t="s">
        <v>587</v>
      </c>
      <c r="I38" s="365"/>
      <c r="J38" s="361"/>
    </row>
    <row r="39" spans="1:10" ht="29.25" customHeight="1">
      <c r="A39" s="338" t="s">
        <v>377</v>
      </c>
      <c r="B39" s="338" t="s">
        <v>610</v>
      </c>
      <c r="C39" s="759" t="s">
        <v>1239</v>
      </c>
      <c r="D39" s="673">
        <f t="shared" si="0"/>
        <v>201.66666666666666</v>
      </c>
      <c r="E39" s="374">
        <v>4.3440000000000003</v>
      </c>
      <c r="F39" s="760">
        <v>876.04</v>
      </c>
      <c r="G39" s="757" t="s">
        <v>586</v>
      </c>
      <c r="H39" s="364" t="s">
        <v>587</v>
      </c>
      <c r="I39" s="365"/>
      <c r="J39" s="361"/>
    </row>
    <row r="40" spans="1:10" ht="18.75" customHeight="1">
      <c r="A40" s="338" t="s">
        <v>378</v>
      </c>
      <c r="B40" s="338" t="s">
        <v>612</v>
      </c>
      <c r="C40" s="759" t="s">
        <v>613</v>
      </c>
      <c r="D40" s="673">
        <f t="shared" si="0"/>
        <v>203.62448132780085</v>
      </c>
      <c r="E40" s="374">
        <v>0.96399999999999997</v>
      </c>
      <c r="F40" s="674">
        <v>196.29400000000001</v>
      </c>
      <c r="G40" s="757" t="s">
        <v>586</v>
      </c>
      <c r="H40" s="364" t="s">
        <v>587</v>
      </c>
      <c r="I40" s="365"/>
      <c r="J40" s="361"/>
    </row>
    <row r="41" spans="1:10" ht="18.75" customHeight="1">
      <c r="A41" s="338" t="s">
        <v>379</v>
      </c>
      <c r="B41" s="338" t="s">
        <v>614</v>
      </c>
      <c r="C41" s="759" t="s">
        <v>615</v>
      </c>
      <c r="D41" s="673">
        <f t="shared" si="0"/>
        <v>203.80793650793652</v>
      </c>
      <c r="E41" s="374">
        <v>1.89</v>
      </c>
      <c r="F41" s="674">
        <v>385.197</v>
      </c>
      <c r="G41" s="757" t="s">
        <v>586</v>
      </c>
      <c r="H41" s="364" t="s">
        <v>587</v>
      </c>
      <c r="I41" s="365"/>
      <c r="J41" s="361"/>
    </row>
    <row r="42" spans="1:10" ht="30" customHeight="1">
      <c r="A42" s="338" t="s">
        <v>380</v>
      </c>
      <c r="B42" s="338" t="s">
        <v>616</v>
      </c>
      <c r="C42" s="759" t="s">
        <v>1240</v>
      </c>
      <c r="D42" s="673">
        <f t="shared" si="0"/>
        <v>194.56807422836587</v>
      </c>
      <c r="E42" s="374">
        <v>5.2809999999999997</v>
      </c>
      <c r="F42" s="674">
        <v>1027.5140000000001</v>
      </c>
      <c r="G42" s="757" t="s">
        <v>586</v>
      </c>
      <c r="H42" s="364" t="s">
        <v>587</v>
      </c>
      <c r="I42" s="365"/>
      <c r="J42" s="361"/>
    </row>
    <row r="43" spans="1:10" ht="30.75" customHeight="1">
      <c r="A43" s="338" t="s">
        <v>381</v>
      </c>
      <c r="B43" s="338" t="s">
        <v>596</v>
      </c>
      <c r="C43" s="759" t="s">
        <v>1241</v>
      </c>
      <c r="D43" s="673">
        <f t="shared" si="0"/>
        <v>175.69332654100867</v>
      </c>
      <c r="E43" s="374">
        <v>3.9260000000000002</v>
      </c>
      <c r="F43" s="674">
        <v>689.77200000000005</v>
      </c>
      <c r="G43" s="757" t="s">
        <v>586</v>
      </c>
      <c r="H43" s="364" t="s">
        <v>587</v>
      </c>
      <c r="I43" s="365"/>
      <c r="J43" s="361"/>
    </row>
    <row r="44" spans="1:10">
      <c r="A44" s="338" t="s">
        <v>382</v>
      </c>
      <c r="B44" s="338" t="s">
        <v>596</v>
      </c>
      <c r="C44" s="761" t="s">
        <v>383</v>
      </c>
      <c r="D44" s="762">
        <f>F44/E44</f>
        <v>166.66923076923078</v>
      </c>
      <c r="E44" s="763">
        <v>0.13</v>
      </c>
      <c r="F44" s="764">
        <v>21.667000000000002</v>
      </c>
      <c r="G44" s="757" t="s">
        <v>586</v>
      </c>
      <c r="H44" s="364" t="s">
        <v>587</v>
      </c>
      <c r="I44" s="365"/>
      <c r="J44" s="361"/>
    </row>
    <row r="45" spans="1:10">
      <c r="A45" s="338" t="s">
        <v>384</v>
      </c>
      <c r="B45" s="338" t="s">
        <v>596</v>
      </c>
      <c r="C45" s="765" t="s">
        <v>385</v>
      </c>
      <c r="D45" s="766">
        <f>F45/E45</f>
        <v>8.3330000000000002</v>
      </c>
      <c r="E45" s="767">
        <v>1</v>
      </c>
      <c r="F45" s="764">
        <v>8.3330000000000002</v>
      </c>
      <c r="G45" s="757" t="s">
        <v>586</v>
      </c>
      <c r="H45" s="364" t="s">
        <v>587</v>
      </c>
      <c r="I45" s="365"/>
      <c r="J45" s="361"/>
    </row>
    <row r="46" spans="1:10" ht="29.25" customHeight="1">
      <c r="A46" s="338" t="s">
        <v>386</v>
      </c>
      <c r="B46" s="338" t="s">
        <v>617</v>
      </c>
      <c r="C46" s="759" t="s">
        <v>1242</v>
      </c>
      <c r="D46" s="673">
        <f t="shared" si="0"/>
        <v>163.55194942044258</v>
      </c>
      <c r="E46" s="374">
        <v>4.7450000000000001</v>
      </c>
      <c r="F46" s="674">
        <v>776.05400000000009</v>
      </c>
      <c r="G46" s="757" t="s">
        <v>586</v>
      </c>
      <c r="H46" s="364" t="s">
        <v>587</v>
      </c>
      <c r="I46" s="365"/>
      <c r="J46" s="361"/>
    </row>
    <row r="47" spans="1:10" ht="28.5" customHeight="1">
      <c r="A47" s="338" t="s">
        <v>387</v>
      </c>
      <c r="B47" s="338" t="s">
        <v>621</v>
      </c>
      <c r="C47" s="759" t="s">
        <v>1247</v>
      </c>
      <c r="D47" s="673">
        <f>F47/E47</f>
        <v>172.58002832861189</v>
      </c>
      <c r="E47" s="374">
        <v>2.8239999999999998</v>
      </c>
      <c r="F47" s="674">
        <v>487.36599999999999</v>
      </c>
      <c r="G47" s="752" t="s">
        <v>586</v>
      </c>
      <c r="H47" s="364" t="s">
        <v>587</v>
      </c>
      <c r="I47" s="365"/>
      <c r="J47" s="361"/>
    </row>
    <row r="48" spans="1:10" ht="29.25" customHeight="1">
      <c r="A48" s="338" t="s">
        <v>388</v>
      </c>
      <c r="B48" s="338" t="s">
        <v>622</v>
      </c>
      <c r="C48" s="769" t="s">
        <v>1248</v>
      </c>
      <c r="D48" s="673">
        <f>F48/E48</f>
        <v>204.44878472222223</v>
      </c>
      <c r="E48" s="368">
        <v>2.3039999999999998</v>
      </c>
      <c r="F48" s="674">
        <v>471.05</v>
      </c>
      <c r="G48" s="752" t="s">
        <v>586</v>
      </c>
      <c r="H48" s="364" t="s">
        <v>587</v>
      </c>
      <c r="I48" s="365"/>
      <c r="J48" s="361"/>
    </row>
    <row r="49" spans="1:10" ht="28.5" customHeight="1">
      <c r="A49" s="338" t="s">
        <v>389</v>
      </c>
      <c r="B49" s="338" t="s">
        <v>618</v>
      </c>
      <c r="C49" s="759" t="s">
        <v>321</v>
      </c>
      <c r="D49" s="673">
        <f t="shared" si="0"/>
        <v>180.57931404072883</v>
      </c>
      <c r="E49" s="374">
        <v>3.7320000000000002</v>
      </c>
      <c r="F49" s="674">
        <v>673.92200000000003</v>
      </c>
      <c r="G49" s="757" t="s">
        <v>586</v>
      </c>
      <c r="H49" s="364" t="s">
        <v>587</v>
      </c>
      <c r="I49" s="365"/>
      <c r="J49" s="361"/>
    </row>
    <row r="50" spans="1:10" ht="28.5" customHeight="1">
      <c r="A50" s="338" t="s">
        <v>390</v>
      </c>
      <c r="B50" s="338" t="s">
        <v>599</v>
      </c>
      <c r="C50" s="769" t="s">
        <v>1249</v>
      </c>
      <c r="D50" s="673">
        <f t="shared" si="0"/>
        <v>167.30229226361033</v>
      </c>
      <c r="E50" s="368">
        <v>2.0939999999999999</v>
      </c>
      <c r="F50" s="674">
        <v>350.33100000000002</v>
      </c>
      <c r="G50" s="757" t="s">
        <v>586</v>
      </c>
      <c r="H50" s="364" t="s">
        <v>587</v>
      </c>
      <c r="I50" s="365"/>
      <c r="J50" s="361"/>
    </row>
    <row r="51" spans="1:10">
      <c r="A51" s="338" t="s">
        <v>391</v>
      </c>
      <c r="B51" s="338" t="s">
        <v>599</v>
      </c>
      <c r="C51" s="761" t="s">
        <v>392</v>
      </c>
      <c r="D51" s="762">
        <f>F51/E51</f>
        <v>156.25</v>
      </c>
      <c r="E51" s="770">
        <v>0.08</v>
      </c>
      <c r="F51" s="770">
        <v>12.5</v>
      </c>
      <c r="G51" s="752" t="s">
        <v>586</v>
      </c>
      <c r="H51" s="364" t="s">
        <v>587</v>
      </c>
      <c r="I51" s="365"/>
      <c r="J51" s="361"/>
    </row>
    <row r="52" spans="1:10" ht="28.5" customHeight="1">
      <c r="A52" s="338" t="s">
        <v>393</v>
      </c>
      <c r="B52" s="338" t="s">
        <v>599</v>
      </c>
      <c r="C52" s="765" t="s">
        <v>394</v>
      </c>
      <c r="D52" s="766">
        <f>F52/E52</f>
        <v>70.83</v>
      </c>
      <c r="E52" s="767">
        <v>1</v>
      </c>
      <c r="F52" s="770">
        <v>70.83</v>
      </c>
      <c r="G52" s="757" t="s">
        <v>586</v>
      </c>
      <c r="H52" s="364" t="s">
        <v>587</v>
      </c>
      <c r="I52" s="365"/>
      <c r="J52" s="361"/>
    </row>
    <row r="53" spans="1:10" ht="29.25" customHeight="1">
      <c r="A53" s="338" t="s">
        <v>395</v>
      </c>
      <c r="B53" s="338" t="s">
        <v>604</v>
      </c>
      <c r="C53" s="759" t="s">
        <v>1250</v>
      </c>
      <c r="D53" s="673">
        <f t="shared" si="0"/>
        <v>158.44721788871556</v>
      </c>
      <c r="E53" s="374">
        <v>1.923</v>
      </c>
      <c r="F53" s="674">
        <v>304.69400000000002</v>
      </c>
      <c r="G53" s="757" t="s">
        <v>586</v>
      </c>
      <c r="H53" s="364" t="s">
        <v>587</v>
      </c>
      <c r="I53" s="365"/>
      <c r="J53" s="361"/>
    </row>
    <row r="54" spans="1:10">
      <c r="A54" s="338" t="s">
        <v>396</v>
      </c>
      <c r="B54" s="338" t="s">
        <v>604</v>
      </c>
      <c r="C54" s="761" t="s">
        <v>397</v>
      </c>
      <c r="D54" s="762">
        <f>F54/E54</f>
        <v>131.75098814229247</v>
      </c>
      <c r="E54" s="763">
        <v>0.253</v>
      </c>
      <c r="F54" s="770">
        <v>33.332999999999998</v>
      </c>
      <c r="G54" s="757" t="s">
        <v>586</v>
      </c>
      <c r="H54" s="364" t="s">
        <v>587</v>
      </c>
      <c r="I54" s="365"/>
      <c r="J54" s="361"/>
    </row>
    <row r="55" spans="1:10" ht="27" customHeight="1">
      <c r="A55" s="338" t="s">
        <v>398</v>
      </c>
      <c r="B55" s="338" t="s">
        <v>604</v>
      </c>
      <c r="C55" s="765" t="s">
        <v>399</v>
      </c>
      <c r="D55" s="766">
        <f>F55/E55</f>
        <v>70.832999999999998</v>
      </c>
      <c r="E55" s="767">
        <v>1</v>
      </c>
      <c r="F55" s="770">
        <v>70.832999999999998</v>
      </c>
      <c r="G55" s="757" t="s">
        <v>586</v>
      </c>
      <c r="H55" s="364" t="s">
        <v>587</v>
      </c>
      <c r="I55" s="365"/>
      <c r="J55" s="361"/>
    </row>
    <row r="56" spans="1:10" ht="28.5">
      <c r="A56" s="338" t="s">
        <v>400</v>
      </c>
      <c r="B56" s="338" t="s">
        <v>625</v>
      </c>
      <c r="C56" s="759" t="s">
        <v>1251</v>
      </c>
      <c r="D56" s="673">
        <f t="shared" si="0"/>
        <v>200.64136904761901</v>
      </c>
      <c r="E56" s="374">
        <v>0.67200000000000004</v>
      </c>
      <c r="F56" s="674">
        <v>134.83099999999999</v>
      </c>
      <c r="G56" s="757" t="s">
        <v>586</v>
      </c>
      <c r="H56" s="364" t="s">
        <v>587</v>
      </c>
      <c r="I56" s="365"/>
      <c r="J56" s="361"/>
    </row>
    <row r="57" spans="1:10" ht="28.5">
      <c r="A57" s="338" t="s">
        <v>489</v>
      </c>
      <c r="B57" s="338" t="s">
        <v>491</v>
      </c>
      <c r="C57" s="751" t="s">
        <v>490</v>
      </c>
      <c r="D57" s="673">
        <f t="shared" si="0"/>
        <v>188.18283485045512</v>
      </c>
      <c r="E57" s="374">
        <v>3.8450000000000002</v>
      </c>
      <c r="F57" s="674">
        <v>723.56299999999999</v>
      </c>
      <c r="G57" s="757" t="s">
        <v>586</v>
      </c>
      <c r="H57" s="364" t="s">
        <v>587</v>
      </c>
      <c r="I57" s="365"/>
      <c r="J57" s="361"/>
    </row>
    <row r="58" spans="1:10" ht="30.75" customHeight="1">
      <c r="A58" s="338" t="s">
        <v>493</v>
      </c>
      <c r="B58" s="338" t="s">
        <v>491</v>
      </c>
      <c r="C58" s="803" t="s">
        <v>494</v>
      </c>
      <c r="D58" s="673">
        <f t="shared" si="0"/>
        <v>65</v>
      </c>
      <c r="E58" s="374">
        <v>1</v>
      </c>
      <c r="F58" s="674">
        <v>65</v>
      </c>
      <c r="G58" s="757" t="s">
        <v>586</v>
      </c>
      <c r="H58" s="364" t="s">
        <v>587</v>
      </c>
      <c r="I58" s="365"/>
      <c r="J58" s="361"/>
    </row>
    <row r="59" spans="1:10" ht="28.5">
      <c r="A59" s="338" t="s">
        <v>492</v>
      </c>
      <c r="B59" s="338" t="s">
        <v>499</v>
      </c>
      <c r="C59" s="751" t="s">
        <v>495</v>
      </c>
      <c r="D59" s="673">
        <f t="shared" si="0"/>
        <v>194.66093853271647</v>
      </c>
      <c r="E59" s="374">
        <v>6.0519999999999996</v>
      </c>
      <c r="F59" s="674">
        <v>1178.088</v>
      </c>
      <c r="G59" s="757" t="s">
        <v>586</v>
      </c>
      <c r="H59" s="364" t="s">
        <v>587</v>
      </c>
      <c r="I59" s="891"/>
      <c r="J59" s="361"/>
    </row>
    <row r="60" spans="1:10" ht="25.5">
      <c r="A60" s="338" t="s">
        <v>498</v>
      </c>
      <c r="B60" s="338" t="s">
        <v>499</v>
      </c>
      <c r="C60" s="803" t="s">
        <v>496</v>
      </c>
      <c r="D60" s="673">
        <f t="shared" si="0"/>
        <v>80</v>
      </c>
      <c r="E60" s="374">
        <v>1</v>
      </c>
      <c r="F60" s="674">
        <v>80</v>
      </c>
      <c r="G60" s="757" t="s">
        <v>586</v>
      </c>
      <c r="H60" s="364" t="s">
        <v>587</v>
      </c>
      <c r="I60" s="365"/>
      <c r="J60" s="361"/>
    </row>
    <row r="61" spans="1:10" ht="28.5">
      <c r="A61" s="338" t="s">
        <v>497</v>
      </c>
      <c r="B61" s="338" t="s">
        <v>501</v>
      </c>
      <c r="C61" s="751" t="s">
        <v>500</v>
      </c>
      <c r="D61" s="673">
        <f t="shared" si="0"/>
        <v>204.91682974559686</v>
      </c>
      <c r="E61" s="374">
        <v>5.1100000000000003</v>
      </c>
      <c r="F61" s="674">
        <v>1047.125</v>
      </c>
      <c r="G61" s="757" t="s">
        <v>586</v>
      </c>
      <c r="H61" s="364" t="s">
        <v>587</v>
      </c>
      <c r="I61" s="365"/>
      <c r="J61" s="361"/>
    </row>
    <row r="62" spans="1:10" ht="28.5">
      <c r="A62" s="338" t="s">
        <v>502</v>
      </c>
      <c r="B62" s="338" t="s">
        <v>504</v>
      </c>
      <c r="C62" s="751" t="s">
        <v>503</v>
      </c>
      <c r="D62" s="673">
        <f t="shared" si="0"/>
        <v>205</v>
      </c>
      <c r="E62" s="374">
        <v>4.3140000000000001</v>
      </c>
      <c r="F62" s="674">
        <v>884.37</v>
      </c>
      <c r="G62" s="757" t="s">
        <v>586</v>
      </c>
      <c r="H62" s="364" t="s">
        <v>587</v>
      </c>
      <c r="I62" s="365"/>
      <c r="J62" s="361"/>
    </row>
    <row r="63" spans="1:10" ht="28.5">
      <c r="A63" s="338" t="s">
        <v>505</v>
      </c>
      <c r="B63" s="338" t="s">
        <v>507</v>
      </c>
      <c r="C63" s="751" t="s">
        <v>506</v>
      </c>
      <c r="D63" s="673">
        <f t="shared" si="0"/>
        <v>206</v>
      </c>
      <c r="E63" s="374">
        <v>1.8260000000000001</v>
      </c>
      <c r="F63" s="674">
        <v>376.15600000000001</v>
      </c>
      <c r="G63" s="757" t="s">
        <v>586</v>
      </c>
      <c r="H63" s="364" t="s">
        <v>587</v>
      </c>
      <c r="I63" s="365"/>
      <c r="J63" s="361"/>
    </row>
    <row r="64" spans="1:10">
      <c r="A64" s="338" t="s">
        <v>508</v>
      </c>
      <c r="B64" s="338" t="s">
        <v>510</v>
      </c>
      <c r="C64" s="751" t="s">
        <v>509</v>
      </c>
      <c r="D64" s="673">
        <f t="shared" si="0"/>
        <v>206.68630017452008</v>
      </c>
      <c r="E64" s="374">
        <v>2.2919999999999998</v>
      </c>
      <c r="F64" s="674">
        <v>473.72500000000002</v>
      </c>
      <c r="G64" s="757" t="s">
        <v>586</v>
      </c>
      <c r="H64" s="364" t="s">
        <v>587</v>
      </c>
      <c r="I64" s="365"/>
      <c r="J64" s="361"/>
    </row>
    <row r="65" spans="1:10" ht="28.5">
      <c r="A65" s="338" t="s">
        <v>511</v>
      </c>
      <c r="B65" s="338" t="s">
        <v>513</v>
      </c>
      <c r="C65" s="751" t="s">
        <v>512</v>
      </c>
      <c r="D65" s="673">
        <f t="shared" si="0"/>
        <v>203.9260808926081</v>
      </c>
      <c r="E65" s="374">
        <v>3.585</v>
      </c>
      <c r="F65" s="674">
        <v>731.07500000000005</v>
      </c>
      <c r="G65" s="757" t="s">
        <v>586</v>
      </c>
      <c r="H65" s="364" t="s">
        <v>587</v>
      </c>
      <c r="I65" s="365"/>
      <c r="J65" s="361"/>
    </row>
    <row r="66" spans="1:10">
      <c r="A66" s="338"/>
      <c r="B66" s="338"/>
      <c r="C66" s="357" t="s">
        <v>45</v>
      </c>
      <c r="D66" s="373"/>
      <c r="E66" s="758"/>
      <c r="F66" s="674"/>
      <c r="G66" s="757"/>
      <c r="H66" s="364"/>
      <c r="I66" s="365"/>
      <c r="J66" s="361"/>
    </row>
    <row r="67" spans="1:10" ht="30" customHeight="1">
      <c r="A67" s="771" t="s">
        <v>623</v>
      </c>
      <c r="B67" s="349"/>
      <c r="C67" s="772" t="s">
        <v>626</v>
      </c>
      <c r="D67" s="773">
        <f>F67/E67</f>
        <v>0.30399999999999999</v>
      </c>
      <c r="E67" s="941">
        <v>2200</v>
      </c>
      <c r="F67" s="942">
        <v>668.8</v>
      </c>
      <c r="G67" s="774" t="s">
        <v>627</v>
      </c>
      <c r="H67" s="775" t="s">
        <v>628</v>
      </c>
      <c r="I67" s="776"/>
      <c r="J67" s="354"/>
    </row>
    <row r="68" spans="1:10" ht="32.25" customHeight="1">
      <c r="A68" s="771" t="s">
        <v>624</v>
      </c>
      <c r="B68" s="349"/>
      <c r="C68" s="772" t="s">
        <v>629</v>
      </c>
      <c r="D68" s="773">
        <f>F68/E68</f>
        <v>0.56049631268436584</v>
      </c>
      <c r="E68" s="943">
        <v>1356</v>
      </c>
      <c r="F68" s="942">
        <v>760.03300000000002</v>
      </c>
      <c r="G68" s="774" t="s">
        <v>627</v>
      </c>
      <c r="H68" s="775" t="s">
        <v>628</v>
      </c>
      <c r="I68" s="776"/>
      <c r="J68" s="354"/>
    </row>
    <row r="69" spans="1:10">
      <c r="A69" s="376">
        <v>5</v>
      </c>
      <c r="B69" s="377"/>
      <c r="C69" s="350" t="s">
        <v>41</v>
      </c>
      <c r="D69" s="350"/>
      <c r="E69" s="378"/>
      <c r="F69" s="352">
        <v>0</v>
      </c>
      <c r="G69" s="353"/>
      <c r="H69" s="353"/>
      <c r="I69" s="353"/>
      <c r="J69" s="353"/>
    </row>
    <row r="70" spans="1:10">
      <c r="A70" s="355" t="s">
        <v>1710</v>
      </c>
      <c r="B70" s="356"/>
      <c r="C70" s="357" t="s">
        <v>36</v>
      </c>
      <c r="D70" s="285"/>
      <c r="E70" s="265"/>
      <c r="F70" s="366">
        <v>0</v>
      </c>
      <c r="G70" s="365"/>
      <c r="H70" s="365"/>
      <c r="I70" s="365"/>
      <c r="J70" s="365"/>
    </row>
    <row r="71" spans="1:10" ht="12.75" customHeight="1">
      <c r="A71" s="338" t="s">
        <v>1711</v>
      </c>
      <c r="B71" s="356"/>
      <c r="C71" s="357"/>
      <c r="D71" s="285"/>
      <c r="E71" s="265"/>
      <c r="F71" s="366"/>
      <c r="G71" s="365"/>
      <c r="H71" s="365"/>
      <c r="I71" s="365"/>
      <c r="J71" s="365"/>
    </row>
    <row r="72" spans="1:10">
      <c r="A72" s="355" t="s">
        <v>1712</v>
      </c>
      <c r="B72" s="356"/>
      <c r="C72" s="357" t="s">
        <v>37</v>
      </c>
      <c r="D72" s="285"/>
      <c r="E72" s="265"/>
      <c r="F72" s="366">
        <v>0</v>
      </c>
      <c r="G72" s="365"/>
      <c r="H72" s="365"/>
      <c r="I72" s="365"/>
      <c r="J72" s="365"/>
    </row>
    <row r="73" spans="1:10">
      <c r="A73" s="338" t="s">
        <v>1713</v>
      </c>
      <c r="B73" s="356"/>
      <c r="C73" s="361"/>
      <c r="D73" s="361"/>
      <c r="E73" s="265"/>
      <c r="F73" s="366"/>
      <c r="G73" s="365"/>
      <c r="H73" s="365"/>
      <c r="I73" s="365"/>
      <c r="J73" s="365"/>
    </row>
    <row r="74" spans="1:10">
      <c r="A74" s="376">
        <v>6</v>
      </c>
      <c r="B74" s="377"/>
      <c r="C74" s="350" t="s">
        <v>42</v>
      </c>
      <c r="D74" s="350"/>
      <c r="E74" s="378"/>
      <c r="F74" s="352">
        <v>0</v>
      </c>
      <c r="G74" s="353"/>
      <c r="H74" s="353"/>
      <c r="I74" s="353"/>
      <c r="J74" s="353"/>
    </row>
    <row r="75" spans="1:10">
      <c r="A75" s="355" t="s">
        <v>1714</v>
      </c>
      <c r="B75" s="356"/>
      <c r="C75" s="357" t="s">
        <v>36</v>
      </c>
      <c r="D75" s="285"/>
      <c r="E75" s="265"/>
      <c r="F75" s="366">
        <v>0</v>
      </c>
      <c r="G75" s="365"/>
      <c r="H75" s="365"/>
      <c r="I75" s="365"/>
      <c r="J75" s="365"/>
    </row>
    <row r="76" spans="1:10" ht="14.25" customHeight="1">
      <c r="A76" s="338" t="s">
        <v>1715</v>
      </c>
      <c r="B76" s="356"/>
      <c r="C76" s="357"/>
      <c r="D76" s="285"/>
      <c r="E76" s="265"/>
      <c r="F76" s="366"/>
      <c r="G76" s="365"/>
      <c r="H76" s="365"/>
      <c r="I76" s="365"/>
      <c r="J76" s="365"/>
    </row>
    <row r="77" spans="1:10">
      <c r="A77" s="355" t="s">
        <v>1717</v>
      </c>
      <c r="B77" s="356"/>
      <c r="C77" s="357" t="s">
        <v>37</v>
      </c>
      <c r="D77" s="285"/>
      <c r="E77" s="265"/>
      <c r="F77" s="366">
        <v>0</v>
      </c>
      <c r="G77" s="365"/>
      <c r="H77" s="365"/>
      <c r="I77" s="365"/>
      <c r="J77" s="365"/>
    </row>
    <row r="78" spans="1:10">
      <c r="A78" s="338" t="s">
        <v>1716</v>
      </c>
      <c r="B78" s="356"/>
      <c r="C78" s="361"/>
      <c r="D78" s="361"/>
      <c r="E78" s="265"/>
      <c r="F78" s="365"/>
      <c r="G78" s="365"/>
      <c r="H78" s="365"/>
      <c r="I78" s="365"/>
      <c r="J78" s="365"/>
    </row>
    <row r="79" spans="1:10">
      <c r="A79" s="348" t="s">
        <v>1742</v>
      </c>
      <c r="B79" s="349"/>
      <c r="C79" s="350" t="s">
        <v>43</v>
      </c>
      <c r="D79" s="379">
        <f>F79/E79</f>
        <v>418.41324979268404</v>
      </c>
      <c r="E79" s="380">
        <f>SUM(E80,E82)</f>
        <v>10.853000000000002</v>
      </c>
      <c r="F79" s="380">
        <f>F82</f>
        <v>4541.0390000000007</v>
      </c>
      <c r="G79" s="353"/>
      <c r="H79" s="353"/>
      <c r="I79" s="353"/>
      <c r="J79" s="354"/>
    </row>
    <row r="80" spans="1:10">
      <c r="A80" s="355" t="s">
        <v>1718</v>
      </c>
      <c r="B80" s="356"/>
      <c r="C80" s="357" t="s">
        <v>36</v>
      </c>
      <c r="D80" s="381">
        <v>0</v>
      </c>
      <c r="E80" s="375">
        <v>0</v>
      </c>
      <c r="F80" s="375">
        <v>0</v>
      </c>
      <c r="G80" s="360"/>
      <c r="H80" s="360"/>
      <c r="I80" s="360"/>
      <c r="J80" s="361"/>
    </row>
    <row r="81" spans="1:10">
      <c r="A81" s="338" t="s">
        <v>1719</v>
      </c>
      <c r="B81" s="356"/>
      <c r="C81" s="357"/>
      <c r="D81" s="381"/>
      <c r="E81" s="382"/>
      <c r="F81" s="375"/>
      <c r="G81" s="383"/>
      <c r="H81" s="360"/>
      <c r="I81" s="360"/>
      <c r="J81" s="361"/>
    </row>
    <row r="82" spans="1:10" ht="15.2" customHeight="1">
      <c r="A82" s="384" t="s">
        <v>1720</v>
      </c>
      <c r="B82" s="385"/>
      <c r="C82" s="391" t="s">
        <v>37</v>
      </c>
      <c r="D82" s="392">
        <f t="shared" ref="D82:D95" si="1">F82/E82</f>
        <v>418.41324979268404</v>
      </c>
      <c r="E82" s="392">
        <f>E83+E84+E85+E86+E87+E88+E89+E90+E91+E92+E93+E94+E95</f>
        <v>10.853000000000002</v>
      </c>
      <c r="F82" s="392">
        <f>F83+F84+F85+F86+F87+F88+F89+F90+F91+F92+F93+F94+F95</f>
        <v>4541.0390000000007</v>
      </c>
      <c r="G82" s="386"/>
      <c r="H82" s="385"/>
      <c r="I82" s="385"/>
      <c r="J82" s="385"/>
    </row>
    <row r="83" spans="1:10" ht="29.1" customHeight="1">
      <c r="A83" s="390" t="s">
        <v>401</v>
      </c>
      <c r="B83" s="385" t="s">
        <v>643</v>
      </c>
      <c r="C83" s="777" t="s">
        <v>322</v>
      </c>
      <c r="D83" s="778">
        <f t="shared" si="1"/>
        <v>385.11398176291794</v>
      </c>
      <c r="E83" s="779">
        <v>0.65800000000000003</v>
      </c>
      <c r="F83" s="675">
        <v>253.405</v>
      </c>
      <c r="G83" s="388" t="s">
        <v>586</v>
      </c>
      <c r="H83" s="388" t="s">
        <v>587</v>
      </c>
      <c r="I83" s="389"/>
      <c r="J83" s="385"/>
    </row>
    <row r="84" spans="1:10">
      <c r="A84" s="390" t="s">
        <v>402</v>
      </c>
      <c r="B84" s="338" t="s">
        <v>643</v>
      </c>
      <c r="C84" s="780" t="s">
        <v>403</v>
      </c>
      <c r="D84" s="781">
        <f t="shared" si="1"/>
        <v>166.66666666666669</v>
      </c>
      <c r="E84" s="782">
        <v>0.14099999999999999</v>
      </c>
      <c r="F84" s="783">
        <v>23.5</v>
      </c>
      <c r="G84" s="388" t="s">
        <v>586</v>
      </c>
      <c r="H84" s="364" t="s">
        <v>587</v>
      </c>
      <c r="I84" s="365"/>
      <c r="J84" s="361"/>
    </row>
    <row r="85" spans="1:10" ht="29.1" customHeight="1">
      <c r="A85" s="390" t="s">
        <v>404</v>
      </c>
      <c r="B85" s="385" t="s">
        <v>644</v>
      </c>
      <c r="C85" s="777" t="s">
        <v>645</v>
      </c>
      <c r="D85" s="778">
        <f t="shared" si="1"/>
        <v>400</v>
      </c>
      <c r="E85" s="784">
        <v>1.06</v>
      </c>
      <c r="F85" s="675">
        <v>424</v>
      </c>
      <c r="G85" s="388" t="s">
        <v>586</v>
      </c>
      <c r="H85" s="388" t="s">
        <v>587</v>
      </c>
      <c r="I85" s="389"/>
      <c r="J85" s="385"/>
    </row>
    <row r="86" spans="1:10" ht="29.1" customHeight="1">
      <c r="A86" s="390" t="s">
        <v>405</v>
      </c>
      <c r="B86" s="385" t="s">
        <v>646</v>
      </c>
      <c r="C86" s="777" t="s">
        <v>647</v>
      </c>
      <c r="D86" s="778">
        <f t="shared" si="1"/>
        <v>398.50448654037888</v>
      </c>
      <c r="E86" s="784">
        <v>2.0059999999999998</v>
      </c>
      <c r="F86" s="675">
        <v>799.4</v>
      </c>
      <c r="G86" s="388" t="s">
        <v>586</v>
      </c>
      <c r="H86" s="388" t="s">
        <v>587</v>
      </c>
      <c r="I86" s="389"/>
      <c r="J86" s="385"/>
    </row>
    <row r="87" spans="1:10" ht="29.1" customHeight="1">
      <c r="A87" s="390" t="s">
        <v>406</v>
      </c>
      <c r="B87" s="385" t="s">
        <v>630</v>
      </c>
      <c r="C87" s="785" t="s">
        <v>631</v>
      </c>
      <c r="D87" s="778">
        <f t="shared" si="1"/>
        <v>387.91715976331363</v>
      </c>
      <c r="E87" s="784">
        <v>0.50700000000000001</v>
      </c>
      <c r="F87" s="675">
        <v>196.67400000000001</v>
      </c>
      <c r="G87" s="388" t="s">
        <v>586</v>
      </c>
      <c r="H87" s="388" t="s">
        <v>587</v>
      </c>
      <c r="I87" s="389"/>
      <c r="J87" s="385"/>
    </row>
    <row r="88" spans="1:10" ht="29.1" customHeight="1">
      <c r="A88" s="390" t="s">
        <v>407</v>
      </c>
      <c r="B88" s="385" t="s">
        <v>632</v>
      </c>
      <c r="C88" s="785" t="s">
        <v>633</v>
      </c>
      <c r="D88" s="778">
        <f t="shared" si="1"/>
        <v>543.08317757009343</v>
      </c>
      <c r="E88" s="784">
        <v>1.07</v>
      </c>
      <c r="F88" s="675">
        <v>581.09900000000005</v>
      </c>
      <c r="G88" s="388" t="s">
        <v>586</v>
      </c>
      <c r="H88" s="388" t="s">
        <v>587</v>
      </c>
      <c r="I88" s="389"/>
      <c r="J88" s="385"/>
    </row>
    <row r="89" spans="1:10" ht="29.1" customHeight="1">
      <c r="A89" s="390" t="s">
        <v>408</v>
      </c>
      <c r="B89" s="385" t="s">
        <v>634</v>
      </c>
      <c r="C89" s="785" t="s">
        <v>635</v>
      </c>
      <c r="D89" s="778">
        <f t="shared" si="1"/>
        <v>543.08317757009343</v>
      </c>
      <c r="E89" s="784">
        <v>1.07</v>
      </c>
      <c r="F89" s="675">
        <v>581.09900000000005</v>
      </c>
      <c r="G89" s="388" t="s">
        <v>586</v>
      </c>
      <c r="H89" s="388" t="s">
        <v>587</v>
      </c>
      <c r="I89" s="389"/>
      <c r="J89" s="385"/>
    </row>
    <row r="90" spans="1:10" ht="29.1" customHeight="1">
      <c r="A90" s="390" t="s">
        <v>409</v>
      </c>
      <c r="B90" s="385" t="s">
        <v>636</v>
      </c>
      <c r="C90" s="785" t="s">
        <v>637</v>
      </c>
      <c r="D90" s="778">
        <f t="shared" si="1"/>
        <v>372.40018788163457</v>
      </c>
      <c r="E90" s="784">
        <v>2.129</v>
      </c>
      <c r="F90" s="675">
        <v>792.84</v>
      </c>
      <c r="G90" s="388" t="s">
        <v>586</v>
      </c>
      <c r="H90" s="388" t="s">
        <v>587</v>
      </c>
      <c r="I90" s="389"/>
      <c r="J90" s="385"/>
    </row>
    <row r="91" spans="1:10" ht="29.1" customHeight="1">
      <c r="A91" s="390" t="s">
        <v>410</v>
      </c>
      <c r="B91" s="385" t="s">
        <v>638</v>
      </c>
      <c r="C91" s="785" t="s">
        <v>639</v>
      </c>
      <c r="D91" s="778">
        <f t="shared" si="1"/>
        <v>387.91685649202736</v>
      </c>
      <c r="E91" s="784">
        <v>0.878</v>
      </c>
      <c r="F91" s="675">
        <v>340.59100000000001</v>
      </c>
      <c r="G91" s="388" t="s">
        <v>586</v>
      </c>
      <c r="H91" s="388" t="s">
        <v>587</v>
      </c>
      <c r="I91" s="389"/>
      <c r="J91" s="385"/>
    </row>
    <row r="92" spans="1:10" ht="29.25" customHeight="1">
      <c r="A92" s="390" t="s">
        <v>411</v>
      </c>
      <c r="B92" s="385" t="s">
        <v>640</v>
      </c>
      <c r="C92" s="785" t="s">
        <v>641</v>
      </c>
      <c r="D92" s="778">
        <f t="shared" si="1"/>
        <v>387.9158878504673</v>
      </c>
      <c r="E92" s="784">
        <v>0.214</v>
      </c>
      <c r="F92" s="675">
        <v>83.013999999999996</v>
      </c>
      <c r="G92" s="388" t="s">
        <v>586</v>
      </c>
      <c r="H92" s="388" t="s">
        <v>587</v>
      </c>
      <c r="I92" s="389"/>
      <c r="J92" s="385"/>
    </row>
    <row r="93" spans="1:10" ht="29.25" customHeight="1">
      <c r="A93" s="390" t="s">
        <v>514</v>
      </c>
      <c r="B93" s="385" t="s">
        <v>516</v>
      </c>
      <c r="C93" s="785" t="s">
        <v>517</v>
      </c>
      <c r="D93" s="778">
        <f t="shared" si="1"/>
        <v>416.6672268907563</v>
      </c>
      <c r="E93" s="779">
        <v>0.59499999999999997</v>
      </c>
      <c r="F93" s="675">
        <v>247.917</v>
      </c>
      <c r="G93" s="388" t="s">
        <v>586</v>
      </c>
      <c r="H93" s="388" t="s">
        <v>587</v>
      </c>
      <c r="I93" s="389"/>
      <c r="J93" s="385"/>
    </row>
    <row r="94" spans="1:10" ht="29.25" customHeight="1">
      <c r="A94" s="390" t="s">
        <v>515</v>
      </c>
      <c r="B94" s="385" t="s">
        <v>520</v>
      </c>
      <c r="C94" s="785" t="s">
        <v>518</v>
      </c>
      <c r="D94" s="778">
        <f t="shared" si="1"/>
        <v>416.34615384615381</v>
      </c>
      <c r="E94" s="779">
        <v>0.52</v>
      </c>
      <c r="F94" s="675">
        <v>216.5</v>
      </c>
      <c r="G94" s="388" t="s">
        <v>586</v>
      </c>
      <c r="H94" s="388" t="s">
        <v>587</v>
      </c>
      <c r="I94" s="389"/>
      <c r="J94" s="385"/>
    </row>
    <row r="95" spans="1:10">
      <c r="A95" s="390" t="s">
        <v>521</v>
      </c>
      <c r="B95" s="385" t="s">
        <v>520</v>
      </c>
      <c r="C95" s="945" t="s">
        <v>519</v>
      </c>
      <c r="D95" s="778">
        <f t="shared" si="1"/>
        <v>200</v>
      </c>
      <c r="E95" s="779">
        <v>5.0000000000000001E-3</v>
      </c>
      <c r="F95" s="675">
        <v>1</v>
      </c>
      <c r="G95" s="388" t="s">
        <v>586</v>
      </c>
      <c r="H95" s="388" t="s">
        <v>587</v>
      </c>
      <c r="I95" s="389"/>
      <c r="J95" s="385"/>
    </row>
    <row r="96" spans="1:10">
      <c r="A96" s="348" t="s">
        <v>1743</v>
      </c>
      <c r="B96" s="349"/>
      <c r="C96" s="350" t="s">
        <v>44</v>
      </c>
      <c r="D96" s="379">
        <f>F96/E96</f>
        <v>834.95833333333337</v>
      </c>
      <c r="E96" s="380">
        <f>SUM(E97,E99)</f>
        <v>1.1519999999999999</v>
      </c>
      <c r="F96" s="380">
        <f>F97+F99+F105</f>
        <v>961.87199999999996</v>
      </c>
      <c r="G96" s="353"/>
      <c r="H96" s="353"/>
      <c r="I96" s="353"/>
      <c r="J96" s="354"/>
    </row>
    <row r="97" spans="1:10">
      <c r="A97" s="355" t="s">
        <v>1721</v>
      </c>
      <c r="B97" s="356"/>
      <c r="C97" s="357" t="s">
        <v>36</v>
      </c>
      <c r="D97" s="381">
        <v>0</v>
      </c>
      <c r="E97" s="375">
        <v>0</v>
      </c>
      <c r="F97" s="375">
        <v>0</v>
      </c>
      <c r="G97" s="360"/>
      <c r="H97" s="360"/>
      <c r="I97" s="360"/>
      <c r="J97" s="361"/>
    </row>
    <row r="98" spans="1:10">
      <c r="A98" s="338" t="s">
        <v>1722</v>
      </c>
      <c r="B98" s="356"/>
      <c r="C98" s="357"/>
      <c r="D98" s="381"/>
      <c r="E98" s="375"/>
      <c r="F98" s="375"/>
      <c r="G98" s="360"/>
      <c r="H98" s="360"/>
      <c r="I98" s="360"/>
      <c r="J98" s="361"/>
    </row>
    <row r="99" spans="1:10" ht="15" customHeight="1">
      <c r="A99" s="355" t="s">
        <v>1723</v>
      </c>
      <c r="B99" s="356"/>
      <c r="C99" s="357" t="s">
        <v>37</v>
      </c>
      <c r="D99" s="381">
        <f t="shared" ref="D99:D106" si="2">F99/E99</f>
        <v>543.04166666666663</v>
      </c>
      <c r="E99" s="366">
        <f>SUM(E100:E104)</f>
        <v>1.1519999999999999</v>
      </c>
      <c r="F99" s="366">
        <f>SUM(F100:F104)</f>
        <v>625.58399999999995</v>
      </c>
      <c r="G99" s="365"/>
      <c r="H99" s="365"/>
      <c r="I99" s="365"/>
      <c r="J99" s="361"/>
    </row>
    <row r="100" spans="1:10" ht="29.1" customHeight="1">
      <c r="A100" s="338" t="s">
        <v>1724</v>
      </c>
      <c r="B100" s="338" t="s">
        <v>648</v>
      </c>
      <c r="C100" s="786" t="s">
        <v>649</v>
      </c>
      <c r="D100" s="787">
        <f t="shared" si="2"/>
        <v>296.22727272727275</v>
      </c>
      <c r="E100" s="890">
        <v>0.11</v>
      </c>
      <c r="F100" s="365">
        <f>35-2.415</f>
        <v>32.585000000000001</v>
      </c>
      <c r="G100" s="388" t="s">
        <v>586</v>
      </c>
      <c r="H100" s="388" t="s">
        <v>587</v>
      </c>
      <c r="I100" s="365"/>
      <c r="J100" s="361"/>
    </row>
    <row r="101" spans="1:10" ht="30" customHeight="1">
      <c r="A101" s="338" t="s">
        <v>650</v>
      </c>
      <c r="B101" s="338" t="s">
        <v>651</v>
      </c>
      <c r="C101" s="786" t="s">
        <v>652</v>
      </c>
      <c r="D101" s="787">
        <f t="shared" si="2"/>
        <v>310.33333333333331</v>
      </c>
      <c r="E101" s="890">
        <v>0.18</v>
      </c>
      <c r="F101" s="365">
        <f>60-4.14</f>
        <v>55.86</v>
      </c>
      <c r="G101" s="387" t="s">
        <v>586</v>
      </c>
      <c r="H101" s="388" t="s">
        <v>587</v>
      </c>
      <c r="I101" s="365"/>
      <c r="J101" s="361"/>
    </row>
    <row r="102" spans="1:10" ht="45" customHeight="1">
      <c r="A102" s="338" t="s">
        <v>653</v>
      </c>
      <c r="B102" s="338" t="s">
        <v>654</v>
      </c>
      <c r="C102" s="786" t="s">
        <v>655</v>
      </c>
      <c r="D102" s="787">
        <f t="shared" si="2"/>
        <v>915.62937062937056</v>
      </c>
      <c r="E102" s="890">
        <v>0.42899999999999999</v>
      </c>
      <c r="F102" s="365">
        <f>421.917-29.112</f>
        <v>392.80499999999995</v>
      </c>
      <c r="G102" s="387" t="s">
        <v>586</v>
      </c>
      <c r="H102" s="388" t="s">
        <v>587</v>
      </c>
      <c r="I102" s="888"/>
      <c r="J102" s="361"/>
    </row>
    <row r="103" spans="1:10" ht="31.5" customHeight="1">
      <c r="A103" s="338" t="s">
        <v>523</v>
      </c>
      <c r="B103" s="338" t="s">
        <v>524</v>
      </c>
      <c r="C103" s="786" t="s">
        <v>522</v>
      </c>
      <c r="D103" s="787">
        <f t="shared" si="2"/>
        <v>333.33476394849782</v>
      </c>
      <c r="E103" s="890">
        <v>0.23300000000000001</v>
      </c>
      <c r="F103" s="365">
        <v>77.667000000000002</v>
      </c>
      <c r="G103" s="387" t="s">
        <v>586</v>
      </c>
      <c r="H103" s="388" t="s">
        <v>587</v>
      </c>
      <c r="I103" s="888"/>
      <c r="J103" s="361"/>
    </row>
    <row r="104" spans="1:10" ht="38.25" customHeight="1">
      <c r="A104" s="338" t="s">
        <v>525</v>
      </c>
      <c r="B104" s="356" t="s">
        <v>527</v>
      </c>
      <c r="C104" s="786" t="s">
        <v>526</v>
      </c>
      <c r="D104" s="787">
        <f t="shared" si="2"/>
        <v>333.33499999999998</v>
      </c>
      <c r="E104" s="890">
        <v>0.2</v>
      </c>
      <c r="F104" s="365">
        <v>66.667000000000002</v>
      </c>
      <c r="G104" s="387" t="s">
        <v>586</v>
      </c>
      <c r="H104" s="388" t="s">
        <v>587</v>
      </c>
      <c r="I104" s="888"/>
      <c r="J104" s="361"/>
    </row>
    <row r="105" spans="1:10" ht="21.75" customHeight="1">
      <c r="A105" s="788" t="s">
        <v>412</v>
      </c>
      <c r="B105" s="789"/>
      <c r="C105" s="790" t="s">
        <v>319</v>
      </c>
      <c r="D105" s="791">
        <f t="shared" si="2"/>
        <v>12.628163725122043</v>
      </c>
      <c r="E105" s="792" t="s">
        <v>298</v>
      </c>
      <c r="F105" s="380">
        <v>336.28800000000001</v>
      </c>
      <c r="G105" s="793" t="s">
        <v>1237</v>
      </c>
      <c r="H105" s="794" t="s">
        <v>587</v>
      </c>
      <c r="I105" s="795"/>
      <c r="J105" s="789"/>
    </row>
    <row r="106" spans="1:10" ht="28.5">
      <c r="A106" s="348" t="s">
        <v>1744</v>
      </c>
      <c r="B106" s="349"/>
      <c r="C106" s="393" t="s">
        <v>16</v>
      </c>
      <c r="D106" s="379">
        <f t="shared" si="2"/>
        <v>461.3</v>
      </c>
      <c r="E106" s="380">
        <v>1</v>
      </c>
      <c r="F106" s="352">
        <f>F107+F109+F112</f>
        <v>461.3</v>
      </c>
      <c r="G106" s="394"/>
      <c r="H106" s="394"/>
      <c r="I106" s="394"/>
      <c r="J106" s="354"/>
    </row>
    <row r="107" spans="1:10">
      <c r="A107" s="355" t="s">
        <v>1725</v>
      </c>
      <c r="B107" s="356"/>
      <c r="C107" s="357" t="s">
        <v>36</v>
      </c>
      <c r="D107" s="285"/>
      <c r="E107" s="395"/>
      <c r="F107" s="396">
        <v>0</v>
      </c>
      <c r="G107" s="395"/>
      <c r="H107" s="395"/>
      <c r="I107" s="395"/>
      <c r="J107" s="361"/>
    </row>
    <row r="108" spans="1:10">
      <c r="A108" s="338" t="s">
        <v>1726</v>
      </c>
      <c r="B108" s="356"/>
      <c r="C108" s="357"/>
      <c r="D108" s="285"/>
      <c r="E108" s="365"/>
      <c r="F108" s="366"/>
      <c r="G108" s="365"/>
      <c r="H108" s="365"/>
      <c r="I108" s="365"/>
      <c r="J108" s="361"/>
    </row>
    <row r="109" spans="1:10" ht="15" customHeight="1">
      <c r="A109" s="355" t="s">
        <v>1727</v>
      </c>
      <c r="B109" s="356"/>
      <c r="C109" s="357" t="s">
        <v>37</v>
      </c>
      <c r="D109" s="673">
        <f>F109/E109</f>
        <v>62.069571428571429</v>
      </c>
      <c r="E109" s="365">
        <f>E110+E111</f>
        <v>7</v>
      </c>
      <c r="F109" s="366">
        <f>F110+F111</f>
        <v>434.48700000000002</v>
      </c>
      <c r="G109" s="365"/>
      <c r="H109" s="365"/>
      <c r="I109" s="365"/>
      <c r="J109" s="361"/>
    </row>
    <row r="110" spans="1:10" ht="16.5" customHeight="1">
      <c r="A110" s="338" t="s">
        <v>1728</v>
      </c>
      <c r="B110" s="338"/>
      <c r="C110" s="796" t="s">
        <v>828</v>
      </c>
      <c r="D110" s="662">
        <f>F110/E110</f>
        <v>62.067</v>
      </c>
      <c r="E110" s="797">
        <v>1</v>
      </c>
      <c r="F110" s="365">
        <f>66.667-4.6</f>
        <v>62.067</v>
      </c>
      <c r="G110" s="757" t="s">
        <v>627</v>
      </c>
      <c r="H110" s="646" t="s">
        <v>829</v>
      </c>
      <c r="I110" s="365"/>
      <c r="J110" s="361"/>
    </row>
    <row r="111" spans="1:10" ht="42.75">
      <c r="A111" s="338" t="s">
        <v>529</v>
      </c>
      <c r="B111" s="338"/>
      <c r="C111" s="946" t="s">
        <v>528</v>
      </c>
      <c r="D111" s="892">
        <f>F111/E111</f>
        <v>62.07</v>
      </c>
      <c r="E111" s="797">
        <v>6</v>
      </c>
      <c r="F111" s="365">
        <v>372.42</v>
      </c>
      <c r="G111" s="757" t="s">
        <v>627</v>
      </c>
      <c r="H111" s="646" t="s">
        <v>829</v>
      </c>
      <c r="I111" s="365"/>
      <c r="J111" s="361"/>
    </row>
    <row r="112" spans="1:10">
      <c r="A112" s="355" t="s">
        <v>1729</v>
      </c>
      <c r="B112" s="356"/>
      <c r="C112" s="357" t="s">
        <v>45</v>
      </c>
      <c r="D112" s="285"/>
      <c r="E112" s="365">
        <f>E113</f>
        <v>8</v>
      </c>
      <c r="F112" s="366">
        <f>F113</f>
        <v>26.813000000000002</v>
      </c>
      <c r="G112" s="365"/>
      <c r="H112" s="365"/>
      <c r="I112" s="365"/>
      <c r="J112" s="361"/>
    </row>
    <row r="113" spans="1:10" ht="45.75" customHeight="1">
      <c r="A113" s="338" t="s">
        <v>1730</v>
      </c>
      <c r="B113" s="356"/>
      <c r="C113" s="798" t="s">
        <v>320</v>
      </c>
      <c r="D113" s="898">
        <f>F113/E113</f>
        <v>3.3516250000000003</v>
      </c>
      <c r="E113" s="799">
        <v>8</v>
      </c>
      <c r="F113" s="365">
        <f>28.8-1.987</f>
        <v>26.813000000000002</v>
      </c>
      <c r="G113" s="363"/>
      <c r="H113" s="364"/>
      <c r="I113" s="365"/>
      <c r="J113" s="361"/>
    </row>
    <row r="114" spans="1:10" ht="28.5">
      <c r="A114" s="348" t="s">
        <v>1745</v>
      </c>
      <c r="B114" s="349"/>
      <c r="C114" s="393" t="s">
        <v>17</v>
      </c>
      <c r="D114" s="393"/>
      <c r="E114" s="394"/>
      <c r="F114" s="352">
        <f>F118+F119</f>
        <v>655.42000000000007</v>
      </c>
      <c r="G114" s="394"/>
      <c r="H114" s="394"/>
      <c r="I114" s="394"/>
      <c r="J114" s="354"/>
    </row>
    <row r="115" spans="1:10">
      <c r="A115" s="355" t="s">
        <v>1731</v>
      </c>
      <c r="B115" s="356"/>
      <c r="C115" s="357" t="s">
        <v>36</v>
      </c>
      <c r="D115" s="285"/>
      <c r="E115" s="395"/>
      <c r="F115" s="396">
        <v>0</v>
      </c>
      <c r="G115" s="395"/>
      <c r="H115" s="395"/>
      <c r="I115" s="395"/>
      <c r="J115" s="361"/>
    </row>
    <row r="116" spans="1:10">
      <c r="A116" s="338" t="s">
        <v>1732</v>
      </c>
      <c r="B116" s="356"/>
      <c r="C116" s="357"/>
      <c r="D116" s="285"/>
      <c r="E116" s="365"/>
      <c r="F116" s="366"/>
      <c r="G116" s="365"/>
      <c r="H116" s="365"/>
      <c r="I116" s="365"/>
      <c r="J116" s="361"/>
    </row>
    <row r="117" spans="1:10" ht="11.25" customHeight="1">
      <c r="A117" s="355" t="s">
        <v>1733</v>
      </c>
      <c r="B117" s="356"/>
      <c r="C117" s="357" t="s">
        <v>37</v>
      </c>
      <c r="D117" s="285"/>
      <c r="E117" s="365">
        <f>SUM(E118:E119)</f>
        <v>7</v>
      </c>
      <c r="F117" s="366">
        <f>F119+F118</f>
        <v>655.42000000000007</v>
      </c>
      <c r="G117" s="365"/>
      <c r="H117" s="365"/>
      <c r="I117" s="365"/>
      <c r="J117" s="361"/>
    </row>
    <row r="118" spans="1:10" ht="42.75">
      <c r="A118" s="338" t="s">
        <v>1734</v>
      </c>
      <c r="B118" s="356"/>
      <c r="C118" s="946" t="s">
        <v>530</v>
      </c>
      <c r="D118" s="892">
        <f>F118/E118</f>
        <v>62.07</v>
      </c>
      <c r="E118" s="797">
        <v>6</v>
      </c>
      <c r="F118" s="365">
        <v>372.42</v>
      </c>
      <c r="G118" s="365"/>
      <c r="H118" s="365"/>
      <c r="I118" s="365"/>
      <c r="J118" s="361"/>
    </row>
    <row r="119" spans="1:10" ht="28.5">
      <c r="A119" s="338" t="s">
        <v>1735</v>
      </c>
      <c r="B119" s="356"/>
      <c r="C119" s="946" t="s">
        <v>531</v>
      </c>
      <c r="D119" s="892">
        <f>F119/E119</f>
        <v>283</v>
      </c>
      <c r="E119" s="797">
        <v>1</v>
      </c>
      <c r="F119" s="365">
        <v>283</v>
      </c>
      <c r="G119" s="365"/>
      <c r="H119" s="365"/>
      <c r="I119" s="365"/>
      <c r="J119" s="361"/>
    </row>
    <row r="120" spans="1:10">
      <c r="A120" s="348" t="s">
        <v>1746</v>
      </c>
      <c r="B120" s="349"/>
      <c r="C120" s="350" t="s">
        <v>18</v>
      </c>
      <c r="D120" s="379"/>
      <c r="E120" s="380"/>
      <c r="F120" s="380">
        <f>SUM(F121)</f>
        <v>2558.0210000000006</v>
      </c>
      <c r="G120" s="394"/>
      <c r="H120" s="394"/>
      <c r="I120" s="394"/>
      <c r="J120" s="354"/>
    </row>
    <row r="121" spans="1:10">
      <c r="A121" s="355" t="s">
        <v>48</v>
      </c>
      <c r="B121" s="356"/>
      <c r="C121" s="357" t="s">
        <v>36</v>
      </c>
      <c r="D121" s="381">
        <f t="shared" ref="D121:D164" si="3">F121/E121</f>
        <v>182.71578571428577</v>
      </c>
      <c r="E121" s="800">
        <f>E122+E125+E128+E131+E134+E137+E140+E143+E146+E149+E152+E156+E159+E162</f>
        <v>14</v>
      </c>
      <c r="F121" s="375">
        <f>F122+F123+F124+F125+F126+F127+F128+F129+F130+F131+F132+F133+F134+F135+F136+F137+F138+F139+F140+F141+F142+F143+F144+F145+F146+F147+F148+F149+F150+F151+F152+F153+F154+F155+F156+F157+F158+F159+F160+F161+F162+F163+F164</f>
        <v>2558.0210000000006</v>
      </c>
      <c r="G121" s="395"/>
      <c r="H121" s="395"/>
      <c r="I121" s="395"/>
      <c r="J121" s="361"/>
    </row>
    <row r="122" spans="1:10" ht="29.25" customHeight="1">
      <c r="A122" s="367" t="s">
        <v>49</v>
      </c>
      <c r="B122" s="338" t="s">
        <v>585</v>
      </c>
      <c r="C122" s="801" t="s">
        <v>1253</v>
      </c>
      <c r="D122" s="787">
        <f t="shared" si="3"/>
        <v>70.832999999999998</v>
      </c>
      <c r="E122" s="802">
        <v>1</v>
      </c>
      <c r="F122" s="365">
        <v>70.832999999999998</v>
      </c>
      <c r="G122" s="752" t="s">
        <v>586</v>
      </c>
      <c r="H122" s="364" t="s">
        <v>587</v>
      </c>
      <c r="I122" s="365"/>
      <c r="J122" s="361"/>
    </row>
    <row r="123" spans="1:10">
      <c r="A123" s="367" t="s">
        <v>413</v>
      </c>
      <c r="B123" s="338" t="s">
        <v>585</v>
      </c>
      <c r="C123" s="803" t="s">
        <v>414</v>
      </c>
      <c r="D123" s="781">
        <f t="shared" si="3"/>
        <v>170.49725274725276</v>
      </c>
      <c r="E123" s="781">
        <v>0.36399999999999999</v>
      </c>
      <c r="F123" s="783">
        <f>66.667-4.606</f>
        <v>62.061</v>
      </c>
      <c r="G123" s="757" t="s">
        <v>586</v>
      </c>
      <c r="H123" s="364" t="s">
        <v>587</v>
      </c>
      <c r="I123" s="365"/>
      <c r="J123" s="361"/>
    </row>
    <row r="124" spans="1:10">
      <c r="A124" s="367" t="s">
        <v>415</v>
      </c>
      <c r="B124" s="338" t="s">
        <v>585</v>
      </c>
      <c r="C124" s="804" t="s">
        <v>416</v>
      </c>
      <c r="D124" s="781">
        <f t="shared" si="3"/>
        <v>166.66666666666666</v>
      </c>
      <c r="E124" s="781">
        <v>0.26100000000000001</v>
      </c>
      <c r="F124" s="783">
        <v>43.5</v>
      </c>
      <c r="G124" s="757" t="s">
        <v>586</v>
      </c>
      <c r="H124" s="364" t="s">
        <v>587</v>
      </c>
      <c r="I124" s="365"/>
      <c r="J124" s="361"/>
    </row>
    <row r="125" spans="1:10" ht="29.25" customHeight="1">
      <c r="A125" s="367" t="s">
        <v>656</v>
      </c>
      <c r="B125" s="338" t="s">
        <v>588</v>
      </c>
      <c r="C125" s="801" t="s">
        <v>1254</v>
      </c>
      <c r="D125" s="787">
        <f t="shared" si="3"/>
        <v>65.832999999999998</v>
      </c>
      <c r="E125" s="802">
        <v>1</v>
      </c>
      <c r="F125" s="365">
        <v>65.832999999999998</v>
      </c>
      <c r="G125" s="757" t="s">
        <v>586</v>
      </c>
      <c r="H125" s="364" t="s">
        <v>587</v>
      </c>
      <c r="I125" s="365"/>
      <c r="J125" s="361"/>
    </row>
    <row r="126" spans="1:10">
      <c r="A126" s="367" t="s">
        <v>417</v>
      </c>
      <c r="B126" s="338" t="s">
        <v>588</v>
      </c>
      <c r="C126" s="803" t="s">
        <v>418</v>
      </c>
      <c r="D126" s="781">
        <f t="shared" si="3"/>
        <v>165.05882352941177</v>
      </c>
      <c r="E126" s="781">
        <v>8.5000000000000006E-2</v>
      </c>
      <c r="F126" s="783">
        <f>15.583-1.553</f>
        <v>14.030000000000001</v>
      </c>
      <c r="G126" s="757" t="s">
        <v>586</v>
      </c>
      <c r="H126" s="364" t="s">
        <v>587</v>
      </c>
      <c r="I126" s="365"/>
      <c r="J126" s="361"/>
    </row>
    <row r="127" spans="1:10">
      <c r="A127" s="367" t="s">
        <v>419</v>
      </c>
      <c r="B127" s="338" t="s">
        <v>588</v>
      </c>
      <c r="C127" s="804" t="s">
        <v>420</v>
      </c>
      <c r="D127" s="781">
        <f t="shared" si="3"/>
        <v>168.08503401360545</v>
      </c>
      <c r="E127" s="781">
        <v>0.58799999999999997</v>
      </c>
      <c r="F127" s="783">
        <v>98.834000000000003</v>
      </c>
      <c r="G127" s="757" t="s">
        <v>586</v>
      </c>
      <c r="H127" s="364" t="s">
        <v>587</v>
      </c>
      <c r="I127" s="365"/>
      <c r="J127" s="361"/>
    </row>
    <row r="128" spans="1:10" ht="31.5" customHeight="1">
      <c r="A128" s="367" t="s">
        <v>657</v>
      </c>
      <c r="B128" s="338" t="s">
        <v>600</v>
      </c>
      <c r="C128" s="801" t="s">
        <v>1262</v>
      </c>
      <c r="D128" s="787">
        <f t="shared" si="3"/>
        <v>70.83</v>
      </c>
      <c r="E128" s="802">
        <v>1</v>
      </c>
      <c r="F128" s="365">
        <v>70.83</v>
      </c>
      <c r="G128" s="757" t="s">
        <v>586</v>
      </c>
      <c r="H128" s="364" t="s">
        <v>587</v>
      </c>
      <c r="I128" s="365"/>
      <c r="J128" s="361"/>
    </row>
    <row r="129" spans="1:10">
      <c r="A129" s="367" t="s">
        <v>421</v>
      </c>
      <c r="B129" s="338" t="s">
        <v>600</v>
      </c>
      <c r="C129" s="803" t="s">
        <v>422</v>
      </c>
      <c r="D129" s="781">
        <f t="shared" si="3"/>
        <v>159.11872146118722</v>
      </c>
      <c r="E129" s="805">
        <v>0.438</v>
      </c>
      <c r="F129" s="783">
        <f>80.3-10.606</f>
        <v>69.694000000000003</v>
      </c>
      <c r="G129" s="752" t="s">
        <v>586</v>
      </c>
      <c r="H129" s="364" t="s">
        <v>587</v>
      </c>
      <c r="I129" s="365"/>
      <c r="J129" s="361"/>
    </row>
    <row r="130" spans="1:10">
      <c r="A130" s="367" t="s">
        <v>423</v>
      </c>
      <c r="B130" s="338" t="s">
        <v>600</v>
      </c>
      <c r="C130" s="780" t="s">
        <v>424</v>
      </c>
      <c r="D130" s="781">
        <f t="shared" si="3"/>
        <v>166.74418604651163</v>
      </c>
      <c r="E130" s="783">
        <v>4.2999999999999997E-2</v>
      </c>
      <c r="F130" s="783">
        <v>7.17</v>
      </c>
      <c r="G130" s="752" t="s">
        <v>586</v>
      </c>
      <c r="H130" s="364" t="s">
        <v>587</v>
      </c>
      <c r="I130" s="365"/>
      <c r="J130" s="361"/>
    </row>
    <row r="131" spans="1:10" ht="30.75" customHeight="1">
      <c r="A131" s="367" t="s">
        <v>658</v>
      </c>
      <c r="B131" s="338" t="s">
        <v>589</v>
      </c>
      <c r="C131" s="801" t="s">
        <v>1255</v>
      </c>
      <c r="D131" s="787">
        <f t="shared" si="3"/>
        <v>70.832999999999998</v>
      </c>
      <c r="E131" s="802">
        <v>1</v>
      </c>
      <c r="F131" s="365">
        <v>70.832999999999998</v>
      </c>
      <c r="G131" s="757" t="s">
        <v>586</v>
      </c>
      <c r="H131" s="364" t="s">
        <v>587</v>
      </c>
      <c r="I131" s="365"/>
      <c r="J131" s="361"/>
    </row>
    <row r="132" spans="1:10">
      <c r="A132" s="367" t="s">
        <v>425</v>
      </c>
      <c r="B132" s="338" t="s">
        <v>589</v>
      </c>
      <c r="C132" s="803" t="s">
        <v>426</v>
      </c>
      <c r="D132" s="781">
        <f t="shared" si="3"/>
        <v>142.01652892561984</v>
      </c>
      <c r="E132" s="805">
        <v>0.121</v>
      </c>
      <c r="F132" s="783">
        <v>17.184000000000001</v>
      </c>
      <c r="G132" s="757" t="s">
        <v>586</v>
      </c>
      <c r="H132" s="364" t="s">
        <v>587</v>
      </c>
      <c r="I132" s="365"/>
      <c r="J132" s="361"/>
    </row>
    <row r="133" spans="1:10">
      <c r="A133" s="367" t="s">
        <v>427</v>
      </c>
      <c r="B133" s="338" t="s">
        <v>589</v>
      </c>
      <c r="C133" s="804" t="s">
        <v>428</v>
      </c>
      <c r="D133" s="781">
        <f t="shared" si="3"/>
        <v>142.62445414847161</v>
      </c>
      <c r="E133" s="781">
        <v>0.45800000000000002</v>
      </c>
      <c r="F133" s="783">
        <f>76.333-11.011</f>
        <v>65.322000000000003</v>
      </c>
      <c r="G133" s="757" t="s">
        <v>586</v>
      </c>
      <c r="H133" s="364" t="s">
        <v>587</v>
      </c>
      <c r="I133" s="365"/>
      <c r="J133" s="361"/>
    </row>
    <row r="134" spans="1:10" ht="29.25" customHeight="1">
      <c r="A134" s="367" t="s">
        <v>659</v>
      </c>
      <c r="B134" s="338" t="s">
        <v>601</v>
      </c>
      <c r="C134" s="801" t="s">
        <v>1264</v>
      </c>
      <c r="D134" s="787">
        <f t="shared" si="3"/>
        <v>70.832999999999998</v>
      </c>
      <c r="E134" s="802">
        <v>1</v>
      </c>
      <c r="F134" s="365">
        <v>70.832999999999998</v>
      </c>
      <c r="G134" s="757" t="s">
        <v>586</v>
      </c>
      <c r="H134" s="364" t="s">
        <v>587</v>
      </c>
      <c r="I134" s="365"/>
      <c r="J134" s="361"/>
    </row>
    <row r="135" spans="1:10">
      <c r="A135" s="367" t="s">
        <v>429</v>
      </c>
      <c r="B135" s="338" t="s">
        <v>601</v>
      </c>
      <c r="C135" s="803" t="s">
        <v>430</v>
      </c>
      <c r="D135" s="781">
        <f t="shared" si="3"/>
        <v>150.85113268608416</v>
      </c>
      <c r="E135" s="805">
        <v>0.309</v>
      </c>
      <c r="F135" s="783">
        <f>56.651-10.038</f>
        <v>46.613</v>
      </c>
      <c r="G135" s="752" t="s">
        <v>586</v>
      </c>
      <c r="H135" s="364" t="s">
        <v>587</v>
      </c>
      <c r="I135" s="365"/>
      <c r="J135" s="361"/>
    </row>
    <row r="136" spans="1:10">
      <c r="A136" s="367" t="s">
        <v>431</v>
      </c>
      <c r="B136" s="338" t="s">
        <v>601</v>
      </c>
      <c r="C136" s="780" t="s">
        <v>432</v>
      </c>
      <c r="D136" s="781">
        <f t="shared" si="3"/>
        <v>166.6641791044776</v>
      </c>
      <c r="E136" s="782">
        <v>0.13400000000000001</v>
      </c>
      <c r="F136" s="783">
        <v>22.332999999999998</v>
      </c>
      <c r="G136" s="757" t="s">
        <v>586</v>
      </c>
      <c r="H136" s="364" t="s">
        <v>587</v>
      </c>
      <c r="I136" s="365"/>
      <c r="J136" s="361"/>
    </row>
    <row r="137" spans="1:10" ht="29.25" customHeight="1">
      <c r="A137" s="367" t="s">
        <v>660</v>
      </c>
      <c r="B137" s="338" t="s">
        <v>590</v>
      </c>
      <c r="C137" s="801" t="s">
        <v>1256</v>
      </c>
      <c r="D137" s="787">
        <f t="shared" si="3"/>
        <v>70.832999999999998</v>
      </c>
      <c r="E137" s="802">
        <v>1</v>
      </c>
      <c r="F137" s="365">
        <v>70.832999999999998</v>
      </c>
      <c r="G137" s="757" t="s">
        <v>586</v>
      </c>
      <c r="H137" s="364" t="s">
        <v>587</v>
      </c>
      <c r="I137" s="365"/>
      <c r="J137" s="361"/>
    </row>
    <row r="138" spans="1:10">
      <c r="A138" s="367" t="s">
        <v>433</v>
      </c>
      <c r="B138" s="338" t="s">
        <v>590</v>
      </c>
      <c r="C138" s="803" t="s">
        <v>434</v>
      </c>
      <c r="D138" s="781">
        <f t="shared" si="3"/>
        <v>159.82847896440128</v>
      </c>
      <c r="E138" s="781">
        <v>0.61799999999999999</v>
      </c>
      <c r="F138" s="783">
        <f>113.3-14.526</f>
        <v>98.774000000000001</v>
      </c>
      <c r="G138" s="757" t="s">
        <v>586</v>
      </c>
      <c r="H138" s="364" t="s">
        <v>587</v>
      </c>
      <c r="I138" s="365"/>
      <c r="J138" s="361"/>
    </row>
    <row r="139" spans="1:10">
      <c r="A139" s="367" t="s">
        <v>435</v>
      </c>
      <c r="B139" s="338" t="s">
        <v>590</v>
      </c>
      <c r="C139" s="804" t="s">
        <v>436</v>
      </c>
      <c r="D139" s="781">
        <f t="shared" si="3"/>
        <v>166.66836734693877</v>
      </c>
      <c r="E139" s="781">
        <v>0.19600000000000001</v>
      </c>
      <c r="F139" s="783">
        <v>32.667000000000002</v>
      </c>
      <c r="G139" s="757" t="s">
        <v>586</v>
      </c>
      <c r="H139" s="364" t="s">
        <v>587</v>
      </c>
      <c r="I139" s="365"/>
      <c r="J139" s="361"/>
    </row>
    <row r="140" spans="1:10" ht="30" customHeight="1">
      <c r="A140" s="367" t="s">
        <v>661</v>
      </c>
      <c r="B140" s="338" t="s">
        <v>602</v>
      </c>
      <c r="C140" s="801" t="s">
        <v>1265</v>
      </c>
      <c r="D140" s="787">
        <f t="shared" si="3"/>
        <v>70.832999999999998</v>
      </c>
      <c r="E140" s="802">
        <v>1</v>
      </c>
      <c r="F140" s="365">
        <v>70.832999999999998</v>
      </c>
      <c r="G140" s="752" t="s">
        <v>586</v>
      </c>
      <c r="H140" s="364" t="s">
        <v>587</v>
      </c>
      <c r="I140" s="365"/>
      <c r="J140" s="361"/>
    </row>
    <row r="141" spans="1:10" ht="16.5" customHeight="1">
      <c r="A141" s="367" t="s">
        <v>437</v>
      </c>
      <c r="B141" s="338" t="s">
        <v>602</v>
      </c>
      <c r="C141" s="803" t="s">
        <v>438</v>
      </c>
      <c r="D141" s="781">
        <f t="shared" si="3"/>
        <v>158.99759615384616</v>
      </c>
      <c r="E141" s="805">
        <v>0.41599999999999998</v>
      </c>
      <c r="F141" s="783">
        <f>76.267-10.124</f>
        <v>66.143000000000001</v>
      </c>
      <c r="G141" s="757" t="s">
        <v>586</v>
      </c>
      <c r="H141" s="364" t="s">
        <v>587</v>
      </c>
      <c r="I141" s="365"/>
      <c r="J141" s="361"/>
    </row>
    <row r="142" spans="1:10">
      <c r="A142" s="367" t="s">
        <v>439</v>
      </c>
      <c r="B142" s="338" t="s">
        <v>602</v>
      </c>
      <c r="C142" s="780" t="s">
        <v>440</v>
      </c>
      <c r="D142" s="781">
        <f t="shared" si="3"/>
        <v>166.66666666666666</v>
      </c>
      <c r="E142" s="782">
        <v>2.4E-2</v>
      </c>
      <c r="F142" s="783">
        <v>4</v>
      </c>
      <c r="G142" s="757" t="s">
        <v>586</v>
      </c>
      <c r="H142" s="364" t="s">
        <v>587</v>
      </c>
      <c r="I142" s="365"/>
      <c r="J142" s="361"/>
    </row>
    <row r="143" spans="1:10" ht="30.75" customHeight="1">
      <c r="A143" s="367" t="s">
        <v>662</v>
      </c>
      <c r="B143" s="338" t="s">
        <v>591</v>
      </c>
      <c r="C143" s="801" t="s">
        <v>1257</v>
      </c>
      <c r="D143" s="787">
        <f t="shared" si="3"/>
        <v>70.832999999999998</v>
      </c>
      <c r="E143" s="802">
        <v>1</v>
      </c>
      <c r="F143" s="365">
        <v>70.832999999999998</v>
      </c>
      <c r="G143" s="757" t="s">
        <v>586</v>
      </c>
      <c r="H143" s="364" t="s">
        <v>587</v>
      </c>
      <c r="I143" s="365"/>
      <c r="J143" s="361"/>
    </row>
    <row r="144" spans="1:10">
      <c r="A144" s="367" t="s">
        <v>441</v>
      </c>
      <c r="B144" s="338" t="s">
        <v>591</v>
      </c>
      <c r="C144" s="803" t="s">
        <v>442</v>
      </c>
      <c r="D144" s="781">
        <f t="shared" si="3"/>
        <v>208</v>
      </c>
      <c r="E144" s="805">
        <v>0.28299999999999997</v>
      </c>
      <c r="F144" s="783">
        <v>58.863999999999997</v>
      </c>
      <c r="G144" s="757" t="s">
        <v>586</v>
      </c>
      <c r="H144" s="364" t="s">
        <v>587</v>
      </c>
      <c r="I144" s="365"/>
      <c r="J144" s="361"/>
    </row>
    <row r="145" spans="1:10">
      <c r="A145" s="367" t="s">
        <v>443</v>
      </c>
      <c r="B145" s="338" t="s">
        <v>591</v>
      </c>
      <c r="C145" s="804" t="s">
        <v>444</v>
      </c>
      <c r="D145" s="781">
        <f t="shared" si="3"/>
        <v>553.53333333333342</v>
      </c>
      <c r="E145" s="806">
        <v>1.4999999999999999E-2</v>
      </c>
      <c r="F145" s="783">
        <v>8.3030000000000008</v>
      </c>
      <c r="G145" s="757" t="s">
        <v>586</v>
      </c>
      <c r="H145" s="364" t="s">
        <v>587</v>
      </c>
      <c r="I145" s="365"/>
      <c r="J145" s="361"/>
    </row>
    <row r="146" spans="1:10" ht="28.5">
      <c r="A146" s="367" t="s">
        <v>663</v>
      </c>
      <c r="B146" s="338" t="s">
        <v>592</v>
      </c>
      <c r="C146" s="801" t="s">
        <v>1258</v>
      </c>
      <c r="D146" s="787">
        <f t="shared" si="3"/>
        <v>70.832999999999998</v>
      </c>
      <c r="E146" s="802">
        <v>1</v>
      </c>
      <c r="F146" s="365">
        <v>70.832999999999998</v>
      </c>
      <c r="G146" s="757" t="s">
        <v>586</v>
      </c>
      <c r="H146" s="364" t="s">
        <v>587</v>
      </c>
      <c r="I146" s="365"/>
      <c r="J146" s="361"/>
    </row>
    <row r="147" spans="1:10">
      <c r="A147" s="367" t="s">
        <v>445</v>
      </c>
      <c r="B147" s="338" t="s">
        <v>592</v>
      </c>
      <c r="C147" s="803" t="s">
        <v>446</v>
      </c>
      <c r="D147" s="781">
        <f t="shared" si="3"/>
        <v>183.3343328335832</v>
      </c>
      <c r="E147" s="805">
        <v>0.66700000000000004</v>
      </c>
      <c r="F147" s="783">
        <v>122.28400000000001</v>
      </c>
      <c r="G147" s="757" t="s">
        <v>586</v>
      </c>
      <c r="H147" s="364" t="s">
        <v>587</v>
      </c>
      <c r="I147" s="365"/>
      <c r="J147" s="361"/>
    </row>
    <row r="148" spans="1:10">
      <c r="A148" s="367" t="s">
        <v>447</v>
      </c>
      <c r="B148" s="338" t="s">
        <v>592</v>
      </c>
      <c r="C148" s="804" t="s">
        <v>448</v>
      </c>
      <c r="D148" s="781">
        <f t="shared" si="3"/>
        <v>166.66666666666669</v>
      </c>
      <c r="E148" s="806">
        <v>1.4999999999999999E-2</v>
      </c>
      <c r="F148" s="783">
        <v>2.5</v>
      </c>
      <c r="G148" s="757" t="s">
        <v>586</v>
      </c>
      <c r="H148" s="364" t="s">
        <v>587</v>
      </c>
      <c r="I148" s="365"/>
      <c r="J148" s="361"/>
    </row>
    <row r="149" spans="1:10" ht="29.25" customHeight="1">
      <c r="A149" s="367" t="s">
        <v>664</v>
      </c>
      <c r="B149" s="338" t="s">
        <v>593</v>
      </c>
      <c r="C149" s="801" t="s">
        <v>1259</v>
      </c>
      <c r="D149" s="787">
        <f t="shared" si="3"/>
        <v>70.832999999999998</v>
      </c>
      <c r="E149" s="802">
        <v>1</v>
      </c>
      <c r="F149" s="365">
        <v>70.832999999999998</v>
      </c>
      <c r="G149" s="757" t="s">
        <v>586</v>
      </c>
      <c r="H149" s="364" t="s">
        <v>587</v>
      </c>
      <c r="I149" s="365"/>
      <c r="J149" s="361"/>
    </row>
    <row r="150" spans="1:10">
      <c r="A150" s="367" t="s">
        <v>449</v>
      </c>
      <c r="B150" s="338" t="s">
        <v>593</v>
      </c>
      <c r="C150" s="803" t="s">
        <v>450</v>
      </c>
      <c r="D150" s="781">
        <f t="shared" si="3"/>
        <v>151.66666666666669</v>
      </c>
      <c r="E150" s="805">
        <v>0.15</v>
      </c>
      <c r="F150" s="783">
        <f>31.2-8.45</f>
        <v>22.75</v>
      </c>
      <c r="G150" s="757" t="s">
        <v>586</v>
      </c>
      <c r="H150" s="364" t="s">
        <v>587</v>
      </c>
      <c r="I150" s="365"/>
      <c r="J150" s="361"/>
    </row>
    <row r="151" spans="1:10">
      <c r="A151" s="367" t="s">
        <v>451</v>
      </c>
      <c r="B151" s="338" t="s">
        <v>593</v>
      </c>
      <c r="C151" s="804" t="s">
        <v>452</v>
      </c>
      <c r="D151" s="781">
        <f t="shared" si="3"/>
        <v>4817.3999999999996</v>
      </c>
      <c r="E151" s="806">
        <v>5.0000000000000001E-3</v>
      </c>
      <c r="F151" s="783">
        <v>24.087</v>
      </c>
      <c r="G151" s="757" t="s">
        <v>586</v>
      </c>
      <c r="H151" s="364" t="s">
        <v>587</v>
      </c>
      <c r="I151" s="365"/>
      <c r="J151" s="361"/>
    </row>
    <row r="152" spans="1:10" ht="29.25" customHeight="1">
      <c r="A152" s="367" t="s">
        <v>665</v>
      </c>
      <c r="B152" s="338" t="s">
        <v>603</v>
      </c>
      <c r="C152" s="801" t="s">
        <v>1263</v>
      </c>
      <c r="D152" s="787">
        <f t="shared" si="3"/>
        <v>70.832999999999998</v>
      </c>
      <c r="E152" s="802">
        <v>1</v>
      </c>
      <c r="F152" s="365">
        <v>70.832999999999998</v>
      </c>
      <c r="G152" s="757" t="s">
        <v>586</v>
      </c>
      <c r="H152" s="364" t="s">
        <v>587</v>
      </c>
      <c r="I152" s="365"/>
      <c r="J152" s="361"/>
    </row>
    <row r="153" spans="1:10">
      <c r="A153" s="367" t="s">
        <v>453</v>
      </c>
      <c r="B153" s="338" t="s">
        <v>603</v>
      </c>
      <c r="C153" s="803" t="s">
        <v>454</v>
      </c>
      <c r="D153" s="781">
        <f t="shared" si="3"/>
        <v>183.33492822966508</v>
      </c>
      <c r="E153" s="805">
        <v>0.20899999999999999</v>
      </c>
      <c r="F153" s="783">
        <v>38.317</v>
      </c>
      <c r="G153" s="757" t="s">
        <v>586</v>
      </c>
      <c r="H153" s="364" t="s">
        <v>587</v>
      </c>
      <c r="I153" s="365"/>
      <c r="J153" s="361"/>
    </row>
    <row r="154" spans="1:10">
      <c r="A154" s="367" t="s">
        <v>455</v>
      </c>
      <c r="B154" s="338" t="s">
        <v>603</v>
      </c>
      <c r="C154" s="780" t="s">
        <v>456</v>
      </c>
      <c r="D154" s="781">
        <f t="shared" si="3"/>
        <v>166.66666666666666</v>
      </c>
      <c r="E154" s="782">
        <v>0.98399999999999999</v>
      </c>
      <c r="F154" s="783">
        <v>164</v>
      </c>
      <c r="G154" s="757" t="s">
        <v>586</v>
      </c>
      <c r="H154" s="364" t="s">
        <v>587</v>
      </c>
      <c r="I154" s="365"/>
      <c r="J154" s="361"/>
    </row>
    <row r="155" spans="1:10" ht="18" customHeight="1">
      <c r="A155" s="367" t="s">
        <v>457</v>
      </c>
      <c r="B155" s="385" t="s">
        <v>603</v>
      </c>
      <c r="C155" s="753" t="s">
        <v>642</v>
      </c>
      <c r="D155" s="754">
        <f t="shared" si="3"/>
        <v>416.66583541147128</v>
      </c>
      <c r="E155" s="755">
        <v>0.40100000000000002</v>
      </c>
      <c r="F155" s="756">
        <v>167.083</v>
      </c>
      <c r="G155" s="387" t="s">
        <v>586</v>
      </c>
      <c r="H155" s="388" t="s">
        <v>587</v>
      </c>
      <c r="I155" s="389"/>
      <c r="J155" s="385"/>
    </row>
    <row r="156" spans="1:10" ht="30" customHeight="1">
      <c r="A156" s="367" t="s">
        <v>666</v>
      </c>
      <c r="B156" s="338" t="s">
        <v>594</v>
      </c>
      <c r="C156" s="801" t="s">
        <v>1260</v>
      </c>
      <c r="D156" s="787">
        <f t="shared" si="3"/>
        <v>70.832999999999998</v>
      </c>
      <c r="E156" s="802">
        <v>1</v>
      </c>
      <c r="F156" s="365">
        <v>70.832999999999998</v>
      </c>
      <c r="G156" s="757" t="s">
        <v>586</v>
      </c>
      <c r="H156" s="364" t="s">
        <v>587</v>
      </c>
      <c r="I156" s="365"/>
      <c r="J156" s="361"/>
    </row>
    <row r="157" spans="1:10">
      <c r="A157" s="367" t="s">
        <v>458</v>
      </c>
      <c r="B157" s="338" t="s">
        <v>594</v>
      </c>
      <c r="C157" s="803" t="s">
        <v>459</v>
      </c>
      <c r="D157" s="781">
        <f t="shared" si="3"/>
        <v>183.33333333333334</v>
      </c>
      <c r="E157" s="805">
        <v>4.4999999999999998E-2</v>
      </c>
      <c r="F157" s="783">
        <v>8.25</v>
      </c>
      <c r="G157" s="757" t="s">
        <v>586</v>
      </c>
      <c r="H157" s="364" t="s">
        <v>587</v>
      </c>
      <c r="I157" s="365"/>
      <c r="J157" s="361"/>
    </row>
    <row r="158" spans="1:10">
      <c r="A158" s="367" t="s">
        <v>460</v>
      </c>
      <c r="B158" s="338" t="s">
        <v>594</v>
      </c>
      <c r="C158" s="804" t="s">
        <v>461</v>
      </c>
      <c r="D158" s="781">
        <f t="shared" si="3"/>
        <v>90.890243902439011</v>
      </c>
      <c r="E158" s="781">
        <v>8.2000000000000003E-2</v>
      </c>
      <c r="F158" s="783">
        <f>13.667-6.214</f>
        <v>7.4529999999999994</v>
      </c>
      <c r="G158" s="757" t="s">
        <v>586</v>
      </c>
      <c r="H158" s="364" t="s">
        <v>587</v>
      </c>
      <c r="I158" s="365"/>
      <c r="J158" s="361"/>
    </row>
    <row r="159" spans="1:10" ht="30.75" customHeight="1">
      <c r="A159" s="367" t="s">
        <v>667</v>
      </c>
      <c r="B159" s="338" t="s">
        <v>595</v>
      </c>
      <c r="C159" s="801" t="s">
        <v>1261</v>
      </c>
      <c r="D159" s="787">
        <f t="shared" si="3"/>
        <v>70.832999999999998</v>
      </c>
      <c r="E159" s="802">
        <v>1</v>
      </c>
      <c r="F159" s="365">
        <v>70.832999999999998</v>
      </c>
      <c r="G159" s="757" t="s">
        <v>586</v>
      </c>
      <c r="H159" s="364" t="s">
        <v>587</v>
      </c>
      <c r="I159" s="365"/>
      <c r="J159" s="361"/>
    </row>
    <row r="160" spans="1:10">
      <c r="A160" s="367" t="s">
        <v>462</v>
      </c>
      <c r="B160" s="338" t="s">
        <v>595</v>
      </c>
      <c r="C160" s="803" t="s">
        <v>463</v>
      </c>
      <c r="D160" s="781">
        <f t="shared" si="3"/>
        <v>88.331081081081095</v>
      </c>
      <c r="E160" s="805">
        <v>0.14799999999999999</v>
      </c>
      <c r="F160" s="783">
        <f>19.134-6.061</f>
        <v>13.073</v>
      </c>
      <c r="G160" s="752" t="s">
        <v>586</v>
      </c>
      <c r="H160" s="364" t="s">
        <v>587</v>
      </c>
      <c r="I160" s="365"/>
      <c r="J160" s="361"/>
    </row>
    <row r="161" spans="1:10">
      <c r="A161" s="367" t="s">
        <v>464</v>
      </c>
      <c r="B161" s="338" t="s">
        <v>595</v>
      </c>
      <c r="C161" s="804" t="s">
        <v>465</v>
      </c>
      <c r="D161" s="781">
        <f t="shared" si="3"/>
        <v>166.66666666666666</v>
      </c>
      <c r="E161" s="806">
        <v>3.0000000000000001E-3</v>
      </c>
      <c r="F161" s="783">
        <v>0.5</v>
      </c>
      <c r="G161" s="757" t="s">
        <v>586</v>
      </c>
      <c r="H161" s="364" t="s">
        <v>587</v>
      </c>
      <c r="I161" s="365"/>
      <c r="J161" s="361"/>
    </row>
    <row r="162" spans="1:10" ht="27.75" customHeight="1">
      <c r="A162" s="367" t="s">
        <v>668</v>
      </c>
      <c r="B162" s="338" t="s">
        <v>297</v>
      </c>
      <c r="C162" s="801" t="s">
        <v>296</v>
      </c>
      <c r="D162" s="787">
        <f t="shared" si="3"/>
        <v>65</v>
      </c>
      <c r="E162" s="802">
        <v>1</v>
      </c>
      <c r="F162" s="365">
        <v>65</v>
      </c>
      <c r="G162" s="757" t="s">
        <v>586</v>
      </c>
      <c r="H162" s="364" t="s">
        <v>587</v>
      </c>
      <c r="I162" s="365"/>
      <c r="J162" s="361"/>
    </row>
    <row r="163" spans="1:10">
      <c r="A163" s="367" t="s">
        <v>466</v>
      </c>
      <c r="B163" s="338" t="s">
        <v>297</v>
      </c>
      <c r="C163" s="803" t="s">
        <v>467</v>
      </c>
      <c r="D163" s="781">
        <f t="shared" si="3"/>
        <v>219.50980392156865</v>
      </c>
      <c r="E163" s="805">
        <v>5.0999999999999997E-2</v>
      </c>
      <c r="F163" s="783">
        <v>11.195</v>
      </c>
      <c r="G163" s="757" t="s">
        <v>586</v>
      </c>
      <c r="H163" s="364" t="s">
        <v>587</v>
      </c>
      <c r="I163" s="365"/>
      <c r="J163" s="361"/>
    </row>
    <row r="164" spans="1:10">
      <c r="A164" s="367" t="s">
        <v>468</v>
      </c>
      <c r="B164" s="338" t="s">
        <v>297</v>
      </c>
      <c r="C164" s="780" t="s">
        <v>469</v>
      </c>
      <c r="D164" s="781">
        <f t="shared" si="3"/>
        <v>169.5166364186328</v>
      </c>
      <c r="E164" s="782">
        <v>1.653</v>
      </c>
      <c r="F164" s="783">
        <f>305.805-25.594</f>
        <v>280.21100000000001</v>
      </c>
      <c r="G164" s="757" t="s">
        <v>586</v>
      </c>
      <c r="H164" s="364" t="s">
        <v>587</v>
      </c>
      <c r="I164" s="365"/>
      <c r="J164" s="361"/>
    </row>
    <row r="165" spans="1:10" ht="15" customHeight="1">
      <c r="A165" s="355" t="s">
        <v>50</v>
      </c>
      <c r="B165" s="356"/>
      <c r="C165" s="357" t="s">
        <v>37</v>
      </c>
      <c r="D165" s="381"/>
      <c r="E165" s="369"/>
      <c r="F165" s="397"/>
      <c r="G165" s="365"/>
      <c r="H165" s="365"/>
      <c r="I165" s="365"/>
      <c r="J165" s="361"/>
    </row>
    <row r="166" spans="1:10">
      <c r="A166" s="807" t="s">
        <v>51</v>
      </c>
      <c r="B166" s="361"/>
      <c r="C166" s="361"/>
      <c r="D166" s="361"/>
      <c r="E166" s="361"/>
      <c r="F166" s="361"/>
      <c r="G166" s="361"/>
      <c r="H166" s="361"/>
      <c r="I166" s="361"/>
      <c r="J166" s="361"/>
    </row>
    <row r="167" spans="1:10">
      <c r="A167" s="348" t="s">
        <v>532</v>
      </c>
      <c r="B167" s="349"/>
      <c r="C167" s="350" t="s">
        <v>1536</v>
      </c>
      <c r="D167" s="379"/>
      <c r="E167" s="380"/>
      <c r="F167" s="380">
        <f>F168</f>
        <v>500</v>
      </c>
      <c r="G167" s="394"/>
      <c r="H167" s="394"/>
      <c r="I167" s="394"/>
      <c r="J167" s="354"/>
    </row>
    <row r="168" spans="1:10" ht="45">
      <c r="A168" s="893" t="s">
        <v>533</v>
      </c>
      <c r="B168" s="356"/>
      <c r="C168" s="947" t="s">
        <v>534</v>
      </c>
      <c r="D168" s="781">
        <f t="shared" ref="D168" si="4">F168/E168</f>
        <v>500</v>
      </c>
      <c r="E168" s="375">
        <v>1</v>
      </c>
      <c r="F168" s="892">
        <v>500</v>
      </c>
      <c r="G168" s="395"/>
      <c r="H168" s="894"/>
      <c r="I168" s="395"/>
      <c r="J168" s="361"/>
    </row>
    <row r="169" spans="1:10" ht="21" customHeight="1">
      <c r="A169" s="1293" t="s">
        <v>14</v>
      </c>
      <c r="B169" s="1293"/>
      <c r="C169" s="1293"/>
      <c r="D169" s="1293"/>
      <c r="E169" s="1293"/>
      <c r="F169" s="808">
        <f>F6+F11+F16+F21+F69+F74+F79+F96+F106+F114+F120+F167</f>
        <v>29794.479999999996</v>
      </c>
      <c r="G169" s="246"/>
      <c r="H169" s="246"/>
      <c r="I169" s="246"/>
      <c r="J169" s="246"/>
    </row>
    <row r="170" spans="1:10" ht="14.25" customHeight="1"/>
    <row r="171" spans="1:10">
      <c r="A171" s="1294" t="s">
        <v>1463</v>
      </c>
      <c r="B171" s="1294"/>
      <c r="C171" s="1294"/>
      <c r="D171" s="1294"/>
      <c r="E171" s="1294"/>
      <c r="F171" s="1294"/>
      <c r="G171" s="1294"/>
      <c r="H171" s="1294"/>
      <c r="I171" s="1294"/>
      <c r="J171" s="1294"/>
    </row>
    <row r="172" spans="1:10">
      <c r="A172" s="1295" t="s">
        <v>1464</v>
      </c>
      <c r="B172" s="1295"/>
      <c r="C172" s="1295"/>
      <c r="D172" s="1295"/>
      <c r="E172" s="1295"/>
      <c r="F172" s="1295"/>
      <c r="G172" s="1295"/>
      <c r="H172" s="1295"/>
      <c r="I172" s="1295"/>
      <c r="J172" s="1295"/>
    </row>
    <row r="173" spans="1:10">
      <c r="I173" s="896"/>
    </row>
  </sheetData>
  <mergeCells count="13">
    <mergeCell ref="A169:E169"/>
    <mergeCell ref="A171:J171"/>
    <mergeCell ref="A172:J172"/>
    <mergeCell ref="A2:J2"/>
    <mergeCell ref="A3:A4"/>
    <mergeCell ref="B3:B4"/>
    <mergeCell ref="C3:C4"/>
    <mergeCell ref="D3:D4"/>
    <mergeCell ref="E3:F3"/>
    <mergeCell ref="G3:G4"/>
    <mergeCell ref="H3:H4"/>
    <mergeCell ref="I3:I4"/>
    <mergeCell ref="J3:J4"/>
  </mergeCells>
  <phoneticPr fontId="2" type="noConversion"/>
  <pageMargins left="0.37" right="0.35433070866141736" top="0.17" bottom="0.16" header="0.27559055118110237" footer="0.35433070866141736"/>
  <pageSetup paperSize="9" scale="56" orientation="portrait" r:id="rId1"/>
  <headerFooter alignWithMargins="0"/>
  <rowBreaks count="2" manualBreakCount="2">
    <brk id="61" max="9" man="1"/>
    <brk id="119" max="9" man="1"/>
  </rowBreaks>
</worksheet>
</file>

<file path=xl/worksheets/sheet24.xml><?xml version="1.0" encoding="utf-8"?>
<worksheet xmlns="http://schemas.openxmlformats.org/spreadsheetml/2006/main" xmlns:r="http://schemas.openxmlformats.org/officeDocument/2006/relationships">
  <sheetPr codeName="Лист24">
    <tabColor rgb="FF00B0F0"/>
  </sheetPr>
  <dimension ref="A1:M21"/>
  <sheetViews>
    <sheetView tabSelected="1" view="pageBreakPreview" zoomScale="85" zoomScaleNormal="100" zoomScaleSheetLayoutView="85" workbookViewId="0">
      <selection activeCell="E25" sqref="E25"/>
    </sheetView>
  </sheetViews>
  <sheetFormatPr defaultRowHeight="15"/>
  <cols>
    <col min="1" max="1" width="5.7109375" style="82" customWidth="1"/>
    <col min="2" max="2" width="16.42578125" style="82" customWidth="1"/>
    <col min="3" max="3" width="20.140625" style="82" customWidth="1"/>
    <col min="4" max="4" width="11.7109375" style="82" customWidth="1"/>
    <col min="5" max="5" width="9.42578125" style="82" customWidth="1"/>
    <col min="6" max="6" width="12.42578125" style="82" customWidth="1"/>
    <col min="7" max="7" width="10.42578125" style="82" customWidth="1"/>
    <col min="8" max="8" width="12.5703125" style="82" customWidth="1"/>
    <col min="9" max="9" width="9" style="82" customWidth="1"/>
    <col min="10" max="10" width="11.42578125" style="82" customWidth="1"/>
    <col min="11" max="11" width="11.5703125" style="82" customWidth="1"/>
    <col min="12" max="12" width="11.28515625" style="82" customWidth="1"/>
    <col min="13" max="13" width="11.7109375" style="82" customWidth="1"/>
    <col min="14" max="16384" width="9.140625" style="82"/>
  </cols>
  <sheetData>
    <row r="1" spans="1:13" s="85" customFormat="1" ht="17.25" customHeight="1">
      <c r="A1" s="985" t="s">
        <v>1434</v>
      </c>
      <c r="B1" s="985"/>
      <c r="C1" s="985"/>
      <c r="D1" s="985"/>
      <c r="E1" s="985"/>
      <c r="F1" s="985"/>
      <c r="G1" s="985"/>
      <c r="H1" s="985"/>
      <c r="I1" s="985"/>
      <c r="J1" s="985"/>
      <c r="K1" s="985"/>
      <c r="L1" s="985"/>
      <c r="M1" s="985"/>
    </row>
    <row r="2" spans="1:13" s="85" customFormat="1" ht="18" customHeight="1">
      <c r="A2" s="975" t="s">
        <v>1531</v>
      </c>
      <c r="B2" s="975" t="s">
        <v>1538</v>
      </c>
      <c r="C2" s="975"/>
      <c r="D2" s="989" t="s">
        <v>333</v>
      </c>
      <c r="E2" s="989"/>
      <c r="F2" s="975" t="s">
        <v>1533</v>
      </c>
      <c r="G2" s="975"/>
      <c r="H2" s="975"/>
      <c r="I2" s="975"/>
      <c r="J2" s="975"/>
      <c r="K2" s="975"/>
      <c r="L2" s="975"/>
      <c r="M2" s="975"/>
    </row>
    <row r="3" spans="1:13" s="136" customFormat="1" ht="15" customHeight="1">
      <c r="A3" s="975"/>
      <c r="B3" s="975"/>
      <c r="C3" s="975"/>
      <c r="D3" s="989"/>
      <c r="E3" s="989"/>
      <c r="F3" s="989">
        <v>2014</v>
      </c>
      <c r="G3" s="989"/>
      <c r="H3" s="989"/>
      <c r="I3" s="989"/>
      <c r="J3" s="62">
        <v>2015</v>
      </c>
      <c r="K3" s="62">
        <v>2016</v>
      </c>
      <c r="L3" s="62">
        <v>2017</v>
      </c>
      <c r="M3" s="62">
        <v>2018</v>
      </c>
    </row>
    <row r="4" spans="1:13" s="136" customFormat="1" ht="33" customHeight="1">
      <c r="A4" s="975"/>
      <c r="B4" s="975"/>
      <c r="C4" s="975"/>
      <c r="D4" s="975" t="s">
        <v>1437</v>
      </c>
      <c r="E4" s="975" t="s">
        <v>1534</v>
      </c>
      <c r="F4" s="975" t="s">
        <v>1445</v>
      </c>
      <c r="G4" s="975"/>
      <c r="H4" s="975" t="s">
        <v>1465</v>
      </c>
      <c r="I4" s="975"/>
      <c r="J4" s="975" t="s">
        <v>287</v>
      </c>
      <c r="K4" s="975" t="s">
        <v>287</v>
      </c>
      <c r="L4" s="975" t="s">
        <v>287</v>
      </c>
      <c r="M4" s="975" t="s">
        <v>287</v>
      </c>
    </row>
    <row r="5" spans="1:13" s="85" customFormat="1" ht="17.25" customHeight="1">
      <c r="A5" s="975"/>
      <c r="B5" s="975"/>
      <c r="C5" s="975"/>
      <c r="D5" s="975"/>
      <c r="E5" s="975"/>
      <c r="F5" s="37" t="s">
        <v>1437</v>
      </c>
      <c r="G5" s="37" t="s">
        <v>1534</v>
      </c>
      <c r="H5" s="37" t="s">
        <v>1444</v>
      </c>
      <c r="I5" s="37" t="s">
        <v>1534</v>
      </c>
      <c r="J5" s="975"/>
      <c r="K5" s="975"/>
      <c r="L5" s="975"/>
      <c r="M5" s="975"/>
    </row>
    <row r="6" spans="1:13" s="85" customFormat="1">
      <c r="A6" s="239">
        <v>1</v>
      </c>
      <c r="B6" s="1306">
        <v>2</v>
      </c>
      <c r="C6" s="1306"/>
      <c r="D6" s="239">
        <v>3</v>
      </c>
      <c r="E6" s="239">
        <v>4</v>
      </c>
      <c r="F6" s="239">
        <v>5</v>
      </c>
      <c r="G6" s="239">
        <v>6</v>
      </c>
      <c r="H6" s="239">
        <v>7</v>
      </c>
      <c r="I6" s="239">
        <v>8</v>
      </c>
      <c r="J6" s="239">
        <v>9</v>
      </c>
      <c r="K6" s="239">
        <v>10</v>
      </c>
      <c r="L6" s="239">
        <v>11</v>
      </c>
      <c r="M6" s="239">
        <v>12</v>
      </c>
    </row>
    <row r="7" spans="1:13" ht="29.25" customHeight="1">
      <c r="A7" s="318">
        <v>1</v>
      </c>
      <c r="B7" s="1301" t="s">
        <v>1480</v>
      </c>
      <c r="C7" s="1301"/>
      <c r="D7" s="293">
        <f>D12</f>
        <v>39050.174151521991</v>
      </c>
      <c r="E7" s="294">
        <f>D7/D21</f>
        <v>1</v>
      </c>
      <c r="F7" s="293">
        <f>F12</f>
        <v>6396.3201506153846</v>
      </c>
      <c r="G7" s="294">
        <f>F7/F21</f>
        <v>1</v>
      </c>
      <c r="H7" s="293">
        <f>H12</f>
        <v>2.2329400000000001</v>
      </c>
      <c r="I7" s="346">
        <f>H7/H21</f>
        <v>1</v>
      </c>
      <c r="J7" s="293">
        <f>J12</f>
        <v>7035.9521656769239</v>
      </c>
      <c r="K7" s="293">
        <f>K12</f>
        <v>7739.5473822446174</v>
      </c>
      <c r="L7" s="293">
        <f>L12</f>
        <v>8513.5021204690802</v>
      </c>
      <c r="M7" s="293">
        <f>M12</f>
        <v>9364.8523325159877</v>
      </c>
    </row>
    <row r="8" spans="1:13" ht="30.75" customHeight="1">
      <c r="A8" s="664" t="s">
        <v>1693</v>
      </c>
      <c r="B8" s="975" t="s">
        <v>1477</v>
      </c>
      <c r="C8" s="975"/>
      <c r="D8" s="84">
        <v>0</v>
      </c>
      <c r="E8" s="347">
        <v>0</v>
      </c>
      <c r="F8" s="84">
        <v>0</v>
      </c>
      <c r="G8" s="347">
        <v>0</v>
      </c>
      <c r="H8" s="84">
        <v>0</v>
      </c>
      <c r="I8" s="347">
        <v>0</v>
      </c>
      <c r="J8" s="84">
        <v>0</v>
      </c>
      <c r="K8" s="84">
        <v>0</v>
      </c>
      <c r="L8" s="84">
        <v>0</v>
      </c>
      <c r="M8" s="84">
        <v>0</v>
      </c>
    </row>
    <row r="9" spans="1:13" ht="48" customHeight="1">
      <c r="A9" s="664" t="s">
        <v>1694</v>
      </c>
      <c r="B9" s="975" t="s">
        <v>1479</v>
      </c>
      <c r="C9" s="975"/>
      <c r="D9" s="84">
        <v>0</v>
      </c>
      <c r="E9" s="347">
        <v>0</v>
      </c>
      <c r="F9" s="84">
        <v>0</v>
      </c>
      <c r="G9" s="347">
        <v>0</v>
      </c>
      <c r="H9" s="84">
        <v>0</v>
      </c>
      <c r="I9" s="347">
        <v>0</v>
      </c>
      <c r="J9" s="84">
        <v>0</v>
      </c>
      <c r="K9" s="84">
        <v>0</v>
      </c>
      <c r="L9" s="84">
        <v>0</v>
      </c>
      <c r="M9" s="84">
        <v>0</v>
      </c>
    </row>
    <row r="10" spans="1:13" ht="21.75" customHeight="1">
      <c r="A10" s="1304" t="s">
        <v>1759</v>
      </c>
      <c r="B10" s="975" t="s">
        <v>1478</v>
      </c>
      <c r="C10" s="37" t="s">
        <v>1539</v>
      </c>
      <c r="D10" s="84">
        <v>0</v>
      </c>
      <c r="E10" s="347">
        <v>0</v>
      </c>
      <c r="F10" s="84">
        <v>0</v>
      </c>
      <c r="G10" s="347">
        <v>0</v>
      </c>
      <c r="H10" s="84">
        <v>0</v>
      </c>
      <c r="I10" s="347">
        <v>0</v>
      </c>
      <c r="J10" s="84">
        <v>0</v>
      </c>
      <c r="K10" s="84">
        <v>0</v>
      </c>
      <c r="L10" s="84">
        <v>0</v>
      </c>
      <c r="M10" s="84">
        <v>0</v>
      </c>
    </row>
    <row r="11" spans="1:13" ht="31.5" customHeight="1">
      <c r="A11" s="1304"/>
      <c r="B11" s="975"/>
      <c r="C11" s="37" t="s">
        <v>1540</v>
      </c>
      <c r="D11" s="84">
        <v>0</v>
      </c>
      <c r="E11" s="347">
        <v>0</v>
      </c>
      <c r="F11" s="84">
        <v>0</v>
      </c>
      <c r="G11" s="347">
        <v>0</v>
      </c>
      <c r="H11" s="84">
        <v>0</v>
      </c>
      <c r="I11" s="347">
        <v>0</v>
      </c>
      <c r="J11" s="84">
        <v>0</v>
      </c>
      <c r="K11" s="84">
        <v>0</v>
      </c>
      <c r="L11" s="84">
        <v>0</v>
      </c>
      <c r="M11" s="84">
        <v>0</v>
      </c>
    </row>
    <row r="12" spans="1:13" ht="32.25" customHeight="1">
      <c r="A12" s="1303" t="s">
        <v>1760</v>
      </c>
      <c r="B12" s="1301" t="s">
        <v>1466</v>
      </c>
      <c r="C12" s="1301"/>
      <c r="D12" s="293">
        <f>D15+D16+D17+D18</f>
        <v>39050.174151521991</v>
      </c>
      <c r="E12" s="294">
        <f>D12/D7</f>
        <v>1</v>
      </c>
      <c r="F12" s="293">
        <f>F15+F16+F17+F18</f>
        <v>6396.3201506153846</v>
      </c>
      <c r="G12" s="294">
        <f>F12/F7</f>
        <v>1</v>
      </c>
      <c r="H12" s="293">
        <f>H15+H16+H17+H18</f>
        <v>2.2329400000000001</v>
      </c>
      <c r="I12" s="346">
        <f>H12/H7</f>
        <v>1</v>
      </c>
      <c r="J12" s="293">
        <f>J15+J16+J17+J18</f>
        <v>7035.9521656769239</v>
      </c>
      <c r="K12" s="293">
        <f>K15+K16+K17+K18</f>
        <v>7739.5473822446174</v>
      </c>
      <c r="L12" s="293">
        <f>L15+L16+L17+L18</f>
        <v>8513.5021204690802</v>
      </c>
      <c r="M12" s="293">
        <f>M15+M16+M17+M18</f>
        <v>9364.8523325159877</v>
      </c>
    </row>
    <row r="13" spans="1:13">
      <c r="A13" s="1303"/>
      <c r="B13" s="1305" t="s">
        <v>1541</v>
      </c>
      <c r="C13" s="1305"/>
      <c r="D13" s="84">
        <f t="shared" ref="D13:D18" si="0">F13+J13+K13+L13+M13</f>
        <v>49339.909375999996</v>
      </c>
      <c r="E13" s="60">
        <f>D13/D12</f>
        <v>1.2635003671059675</v>
      </c>
      <c r="F13" s="128">
        <v>6789.36</v>
      </c>
      <c r="G13" s="60">
        <f>F13/F12</f>
        <v>1.0614478075095726</v>
      </c>
      <c r="H13" s="128">
        <v>1.8765320000000001</v>
      </c>
      <c r="I13" s="345">
        <f>H13/H12</f>
        <v>0.84038621727408702</v>
      </c>
      <c r="J13" s="128">
        <v>6963.44</v>
      </c>
      <c r="K13" s="128">
        <v>9776.6783999999989</v>
      </c>
      <c r="L13" s="128">
        <v>11732.014079999999</v>
      </c>
      <c r="M13" s="128">
        <v>14078.416895999999</v>
      </c>
    </row>
    <row r="14" spans="1:13">
      <c r="A14" s="1303"/>
      <c r="B14" s="1305" t="s">
        <v>1542</v>
      </c>
      <c r="C14" s="1305"/>
      <c r="D14" s="84">
        <f t="shared" si="0"/>
        <v>14583.597939510739</v>
      </c>
      <c r="E14" s="60">
        <f>D14/D12</f>
        <v>0.37345794881537908</v>
      </c>
      <c r="F14" s="128">
        <v>2006.7591546255344</v>
      </c>
      <c r="G14" s="60">
        <f>F14/F12</f>
        <v>0.31373650901955957</v>
      </c>
      <c r="H14" s="128">
        <v>0.35640800000000006</v>
      </c>
      <c r="I14" s="345">
        <f>H14/H12</f>
        <v>0.15961378272591295</v>
      </c>
      <c r="J14" s="128">
        <v>2058.21</v>
      </c>
      <c r="K14" s="128">
        <v>2889.7331826607715</v>
      </c>
      <c r="L14" s="128">
        <v>3467.6798191929247</v>
      </c>
      <c r="M14" s="128">
        <v>4161.2157830315082</v>
      </c>
    </row>
    <row r="15" spans="1:13" ht="45.75" customHeight="1">
      <c r="A15" s="664" t="s">
        <v>1457</v>
      </c>
      <c r="B15" s="1300" t="s">
        <v>578</v>
      </c>
      <c r="C15" s="1300"/>
      <c r="D15" s="84">
        <f t="shared" si="0"/>
        <v>2325.4509053000006</v>
      </c>
      <c r="E15" s="60">
        <f>D15/D12</f>
        <v>5.9550333790492599E-2</v>
      </c>
      <c r="F15" s="128">
        <f>'6. Проведення закупівлі'!F28</f>
        <v>380.90300000000002</v>
      </c>
      <c r="G15" s="60">
        <f>F15/F12</f>
        <v>5.9550333790492592E-2</v>
      </c>
      <c r="H15" s="128">
        <v>0.17535200000000001</v>
      </c>
      <c r="I15" s="345">
        <f>H15/H12</f>
        <v>7.8529651490859581E-2</v>
      </c>
      <c r="J15" s="128">
        <f>F15*1.1</f>
        <v>418.99330000000003</v>
      </c>
      <c r="K15" s="128">
        <f>J15*1.1</f>
        <v>460.89263000000005</v>
      </c>
      <c r="L15" s="128">
        <f>K15*1.1</f>
        <v>506.98189300000013</v>
      </c>
      <c r="M15" s="128">
        <f>L15*1.1</f>
        <v>557.68008230000021</v>
      </c>
    </row>
    <row r="16" spans="1:13" ht="29.25" customHeight="1">
      <c r="A16" s="664" t="s">
        <v>1458</v>
      </c>
      <c r="B16" s="1300" t="s">
        <v>579</v>
      </c>
      <c r="C16" s="1300"/>
      <c r="D16" s="84">
        <f t="shared" si="0"/>
        <v>23586.293459795008</v>
      </c>
      <c r="E16" s="60">
        <f>D16/D12</f>
        <v>0.60399969967549361</v>
      </c>
      <c r="F16" s="128">
        <f>'6. Проведення закупівлі'!F32</f>
        <v>3863.37545</v>
      </c>
      <c r="G16" s="60">
        <f>F16/F12</f>
        <v>0.60399969967549361</v>
      </c>
      <c r="H16" s="128">
        <v>1.603561</v>
      </c>
      <c r="I16" s="345">
        <f>H16/H12</f>
        <v>0.71813886624808543</v>
      </c>
      <c r="J16" s="128">
        <f>F16*1.1</f>
        <v>4249.7129950000008</v>
      </c>
      <c r="K16" s="128">
        <f t="shared" ref="K16:M18" si="1">J16*1.1</f>
        <v>4674.6842945000017</v>
      </c>
      <c r="L16" s="128">
        <f t="shared" si="1"/>
        <v>5142.1527239500019</v>
      </c>
      <c r="M16" s="128">
        <f t="shared" si="1"/>
        <v>5656.3679963450022</v>
      </c>
    </row>
    <row r="17" spans="1:13" ht="29.25" customHeight="1">
      <c r="A17" s="664" t="s">
        <v>1459</v>
      </c>
      <c r="B17" s="1300" t="s">
        <v>581</v>
      </c>
      <c r="C17" s="1300"/>
      <c r="D17" s="84">
        <f t="shared" si="0"/>
        <v>8412.3497744269862</v>
      </c>
      <c r="E17" s="60">
        <f>D17/D12</f>
        <v>0.21542412952591436</v>
      </c>
      <c r="F17" s="128">
        <f>'6. Проведення закупівлі'!F36</f>
        <v>1377.9217006153845</v>
      </c>
      <c r="G17" s="60">
        <f>F17/F12</f>
        <v>0.21542412952591433</v>
      </c>
      <c r="H17" s="128">
        <v>0.385436</v>
      </c>
      <c r="I17" s="345">
        <f>H17/H12</f>
        <v>0.1726136842010981</v>
      </c>
      <c r="J17" s="128">
        <f>F17*1.1</f>
        <v>1515.7138706769231</v>
      </c>
      <c r="K17" s="128">
        <f t="shared" si="1"/>
        <v>1667.2852577446156</v>
      </c>
      <c r="L17" s="128">
        <f t="shared" si="1"/>
        <v>1834.0137835190774</v>
      </c>
      <c r="M17" s="128">
        <f t="shared" si="1"/>
        <v>2017.4151618709852</v>
      </c>
    </row>
    <row r="18" spans="1:13" ht="30.75" customHeight="1">
      <c r="A18" s="664" t="s">
        <v>580</v>
      </c>
      <c r="B18" s="1300" t="s">
        <v>245</v>
      </c>
      <c r="C18" s="1300"/>
      <c r="D18" s="84">
        <f t="shared" si="0"/>
        <v>4726.0800120000004</v>
      </c>
      <c r="E18" s="60">
        <f>D18/D12</f>
        <v>0.12102583700809949</v>
      </c>
      <c r="F18" s="128">
        <f>'6. Проведення закупівлі'!F39</f>
        <v>774.12</v>
      </c>
      <c r="G18" s="60">
        <f>F18/F12</f>
        <v>0.1210258370080995</v>
      </c>
      <c r="H18" s="128">
        <v>6.8590999999999999E-2</v>
      </c>
      <c r="I18" s="345">
        <f>H18/H12</f>
        <v>3.0717798059956825E-2</v>
      </c>
      <c r="J18" s="128">
        <f>F18*1.1</f>
        <v>851.53200000000004</v>
      </c>
      <c r="K18" s="128">
        <f t="shared" si="1"/>
        <v>936.68520000000012</v>
      </c>
      <c r="L18" s="128">
        <f t="shared" si="1"/>
        <v>1030.3537200000003</v>
      </c>
      <c r="M18" s="128">
        <f t="shared" si="1"/>
        <v>1133.3890920000003</v>
      </c>
    </row>
    <row r="19" spans="1:13" ht="32.25" customHeight="1">
      <c r="A19" s="664" t="s">
        <v>1761</v>
      </c>
      <c r="B19" s="975" t="s">
        <v>1481</v>
      </c>
      <c r="C19" s="975"/>
      <c r="D19" s="84">
        <v>0</v>
      </c>
      <c r="E19" s="60">
        <f>D19/D13</f>
        <v>0</v>
      </c>
      <c r="F19" s="84">
        <v>0</v>
      </c>
      <c r="G19" s="60">
        <f>F19/F13</f>
        <v>0</v>
      </c>
      <c r="H19" s="84">
        <v>0</v>
      </c>
      <c r="I19" s="345">
        <f>H19/H13</f>
        <v>0</v>
      </c>
      <c r="J19" s="84">
        <v>0</v>
      </c>
      <c r="K19" s="84">
        <v>0</v>
      </c>
      <c r="L19" s="84">
        <v>0</v>
      </c>
      <c r="M19" s="84">
        <v>0</v>
      </c>
    </row>
    <row r="20" spans="1:13" ht="15" customHeight="1">
      <c r="A20" s="292" t="s">
        <v>1739</v>
      </c>
      <c r="B20" s="1301" t="s">
        <v>1536</v>
      </c>
      <c r="C20" s="1301"/>
      <c r="D20" s="293">
        <v>0</v>
      </c>
      <c r="E20" s="294"/>
      <c r="F20" s="293">
        <v>0</v>
      </c>
      <c r="G20" s="294"/>
      <c r="H20" s="296"/>
      <c r="I20" s="295"/>
      <c r="J20" s="293">
        <v>0</v>
      </c>
      <c r="K20" s="293">
        <v>0</v>
      </c>
      <c r="L20" s="293">
        <v>0</v>
      </c>
      <c r="M20" s="293">
        <v>0</v>
      </c>
    </row>
    <row r="21" spans="1:13" ht="15" customHeight="1">
      <c r="A21" s="1302" t="s">
        <v>14</v>
      </c>
      <c r="B21" s="1302"/>
      <c r="C21" s="1302"/>
      <c r="D21" s="259">
        <f>D7+D20</f>
        <v>39050.174151521991</v>
      </c>
      <c r="E21" s="254"/>
      <c r="F21" s="259">
        <f>F7+F20</f>
        <v>6396.3201506153846</v>
      </c>
      <c r="G21" s="254"/>
      <c r="H21" s="259">
        <f>H7+H20</f>
        <v>2.2329400000000001</v>
      </c>
      <c r="I21" s="261"/>
      <c r="J21" s="259">
        <f>J7+J20</f>
        <v>7035.9521656769239</v>
      </c>
      <c r="K21" s="259">
        <f>K7+K20</f>
        <v>7739.5473822446174</v>
      </c>
      <c r="L21" s="259">
        <f>L7+L20</f>
        <v>8513.5021204690802</v>
      </c>
      <c r="M21" s="259">
        <f>M7+M20</f>
        <v>9364.8523325159877</v>
      </c>
    </row>
  </sheetData>
  <mergeCells count="31">
    <mergeCell ref="A1:M1"/>
    <mergeCell ref="A2:A5"/>
    <mergeCell ref="B2:C5"/>
    <mergeCell ref="D2:E3"/>
    <mergeCell ref="M4:M5"/>
    <mergeCell ref="F2:M2"/>
    <mergeCell ref="F3:I3"/>
    <mergeCell ref="H4:I4"/>
    <mergeCell ref="F4:G4"/>
    <mergeCell ref="B6:C6"/>
    <mergeCell ref="L4:L5"/>
    <mergeCell ref="B7:C7"/>
    <mergeCell ref="E4:E5"/>
    <mergeCell ref="D4:D5"/>
    <mergeCell ref="K4:K5"/>
    <mergeCell ref="J4:J5"/>
    <mergeCell ref="A21:C21"/>
    <mergeCell ref="B8:C8"/>
    <mergeCell ref="B9:C9"/>
    <mergeCell ref="B12:C12"/>
    <mergeCell ref="A12:A14"/>
    <mergeCell ref="B10:B11"/>
    <mergeCell ref="A10:A11"/>
    <mergeCell ref="B14:C14"/>
    <mergeCell ref="B13:C13"/>
    <mergeCell ref="B15:C15"/>
    <mergeCell ref="B17:C17"/>
    <mergeCell ref="B20:C20"/>
    <mergeCell ref="B19:C19"/>
    <mergeCell ref="B16:C16"/>
    <mergeCell ref="B18:C18"/>
  </mergeCells>
  <phoneticPr fontId="2" type="noConversion"/>
  <pageMargins left="0.70866141732283472" right="0.39370078740157483" top="0.86614173228346458" bottom="0.98425196850393704" header="0.51181102362204722" footer="0.51181102362204722"/>
  <pageSetup paperSize="9" scale="87"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Лист25">
    <tabColor rgb="FF00B0F0"/>
  </sheetPr>
  <dimension ref="A1:J33"/>
  <sheetViews>
    <sheetView view="pageBreakPreview" zoomScale="70" zoomScaleNormal="55" zoomScaleSheetLayoutView="70" zoomScalePageLayoutView="85" workbookViewId="0">
      <selection activeCell="E5" sqref="E5"/>
    </sheetView>
  </sheetViews>
  <sheetFormatPr defaultRowHeight="15"/>
  <cols>
    <col min="1" max="1" width="7" style="82" customWidth="1"/>
    <col min="2" max="2" width="60.140625" style="82" customWidth="1"/>
    <col min="3" max="3" width="13.7109375" style="82" customWidth="1"/>
    <col min="4" max="4" width="9.5703125" style="82" customWidth="1"/>
    <col min="5" max="5" width="14.140625" style="82" customWidth="1"/>
    <col min="6" max="6" width="9.85546875" style="82" customWidth="1"/>
    <col min="7" max="7" width="13.5703125" style="82" customWidth="1"/>
    <col min="8" max="8" width="13" style="82" customWidth="1"/>
    <col min="9" max="10" width="12.7109375" style="82" customWidth="1"/>
    <col min="11" max="16384" width="9.140625" style="82"/>
  </cols>
  <sheetData>
    <row r="1" spans="1:10" ht="22.5" customHeight="1">
      <c r="A1" s="971" t="s">
        <v>151</v>
      </c>
      <c r="B1" s="972"/>
      <c r="C1" s="972"/>
      <c r="D1" s="972"/>
      <c r="E1" s="972"/>
      <c r="F1" s="972"/>
      <c r="G1" s="972"/>
      <c r="H1" s="972"/>
      <c r="I1" s="972"/>
      <c r="J1" s="973"/>
    </row>
    <row r="2" spans="1:10" ht="21.75" customHeight="1">
      <c r="A2" s="975" t="s">
        <v>1531</v>
      </c>
      <c r="B2" s="975" t="s">
        <v>1538</v>
      </c>
      <c r="C2" s="989" t="s">
        <v>333</v>
      </c>
      <c r="D2" s="989"/>
      <c r="E2" s="975" t="s">
        <v>1432</v>
      </c>
      <c r="F2" s="975"/>
      <c r="G2" s="975"/>
      <c r="H2" s="975"/>
      <c r="I2" s="975"/>
      <c r="J2" s="975"/>
    </row>
    <row r="3" spans="1:10" ht="32.25" customHeight="1">
      <c r="A3" s="975"/>
      <c r="B3" s="975"/>
      <c r="C3" s="989"/>
      <c r="D3" s="989"/>
      <c r="E3" s="1309">
        <v>2014</v>
      </c>
      <c r="F3" s="1309"/>
      <c r="G3" s="62">
        <v>2015</v>
      </c>
      <c r="H3" s="62">
        <v>2016</v>
      </c>
      <c r="I3" s="62">
        <v>2017</v>
      </c>
      <c r="J3" s="62">
        <v>2018</v>
      </c>
    </row>
    <row r="4" spans="1:10" ht="17.25" customHeight="1">
      <c r="A4" s="975"/>
      <c r="B4" s="975"/>
      <c r="C4" s="975" t="s">
        <v>1437</v>
      </c>
      <c r="D4" s="975" t="s">
        <v>1534</v>
      </c>
      <c r="E4" s="975" t="s">
        <v>1445</v>
      </c>
      <c r="F4" s="975"/>
      <c r="G4" s="975" t="s">
        <v>287</v>
      </c>
      <c r="H4" s="975" t="s">
        <v>287</v>
      </c>
      <c r="I4" s="975" t="s">
        <v>287</v>
      </c>
      <c r="J4" s="975" t="s">
        <v>287</v>
      </c>
    </row>
    <row r="5" spans="1:10" ht="17.25" customHeight="1">
      <c r="A5" s="975"/>
      <c r="B5" s="975"/>
      <c r="C5" s="975"/>
      <c r="D5" s="975"/>
      <c r="E5" s="37" t="s">
        <v>1437</v>
      </c>
      <c r="F5" s="37" t="s">
        <v>1534</v>
      </c>
      <c r="G5" s="975"/>
      <c r="H5" s="975"/>
      <c r="I5" s="975"/>
      <c r="J5" s="975"/>
    </row>
    <row r="6" spans="1:10" ht="15" customHeight="1">
      <c r="A6" s="239">
        <v>1</v>
      </c>
      <c r="B6" s="239">
        <v>2</v>
      </c>
      <c r="C6" s="239">
        <v>3</v>
      </c>
      <c r="D6" s="239">
        <v>4</v>
      </c>
      <c r="E6" s="239">
        <v>5</v>
      </c>
      <c r="F6" s="239">
        <v>6</v>
      </c>
      <c r="G6" s="239">
        <v>7</v>
      </c>
      <c r="H6" s="239">
        <v>8</v>
      </c>
      <c r="I6" s="239">
        <v>9</v>
      </c>
      <c r="J6" s="239">
        <v>10</v>
      </c>
    </row>
    <row r="7" spans="1:10" ht="50.25" customHeight="1">
      <c r="A7" s="292" t="s">
        <v>1695</v>
      </c>
      <c r="B7" s="318" t="s">
        <v>161</v>
      </c>
      <c r="C7" s="293">
        <f>C8+C18+C28+C30</f>
        <v>3320</v>
      </c>
      <c r="D7" s="294">
        <f>C7/C33</f>
        <v>0.76851851851851849</v>
      </c>
      <c r="E7" s="293">
        <f>E8+E18+E28+E30</f>
        <v>0</v>
      </c>
      <c r="F7" s="294" t="e">
        <f>E7/E33</f>
        <v>#DIV/0!</v>
      </c>
      <c r="G7" s="293">
        <f>G8+G18+G28+G30</f>
        <v>1340</v>
      </c>
      <c r="H7" s="293">
        <f>H8+H18+H28+H30</f>
        <v>1980</v>
      </c>
      <c r="I7" s="293">
        <f>I8+I18+I28+I30</f>
        <v>0</v>
      </c>
      <c r="J7" s="293">
        <f>J8+J18+J28+J30</f>
        <v>0</v>
      </c>
    </row>
    <row r="8" spans="1:10" ht="17.25" customHeight="1">
      <c r="A8" s="336" t="s">
        <v>1693</v>
      </c>
      <c r="B8" s="337" t="s">
        <v>1486</v>
      </c>
      <c r="C8" s="307">
        <f>C9+C10+C11+C12+C13+C14+C15+C16+C17</f>
        <v>1270</v>
      </c>
      <c r="D8" s="308">
        <f>C8/C7</f>
        <v>0.38253012048192769</v>
      </c>
      <c r="E8" s="307">
        <f>E9+E10+E11+E12+E13+E14+E15+E16+E17</f>
        <v>0</v>
      </c>
      <c r="F8" s="308" t="e">
        <f>E8/E7</f>
        <v>#DIV/0!</v>
      </c>
      <c r="G8" s="307">
        <f>G9+G10+G11+G12+G13+G14+G15+G16+G17</f>
        <v>430</v>
      </c>
      <c r="H8" s="307">
        <f>H9+H10+H11+H12+H13+H14+H15+H16+H17</f>
        <v>840</v>
      </c>
      <c r="I8" s="307">
        <f>I9+I10+I11+I12+I13+I14+I15+I16+I17</f>
        <v>0</v>
      </c>
      <c r="J8" s="307">
        <f>J9+J10+J11+J12+J13+J14+J15+J16+J17</f>
        <v>0</v>
      </c>
    </row>
    <row r="9" spans="1:10" ht="18" customHeight="1">
      <c r="A9" s="338" t="s">
        <v>1696</v>
      </c>
      <c r="B9" s="339" t="s">
        <v>300</v>
      </c>
      <c r="C9" s="305">
        <f>E9+G9+H9+I9+J9</f>
        <v>0</v>
      </c>
      <c r="D9" s="306">
        <f>C9/C8</f>
        <v>0</v>
      </c>
      <c r="E9" s="299">
        <v>0</v>
      </c>
      <c r="F9" s="306" t="e">
        <f>E9/E8</f>
        <v>#DIV/0!</v>
      </c>
      <c r="G9" s="299">
        <v>0</v>
      </c>
      <c r="H9" s="299">
        <v>0</v>
      </c>
      <c r="I9" s="299">
        <v>0</v>
      </c>
      <c r="J9" s="299">
        <v>0</v>
      </c>
    </row>
    <row r="10" spans="1:10" ht="18" customHeight="1">
      <c r="A10" s="338" t="s">
        <v>54</v>
      </c>
      <c r="B10" s="339" t="s">
        <v>553</v>
      </c>
      <c r="C10" s="305">
        <f t="shared" ref="C10:C17" si="0">E10+G10+H10+I10+J10</f>
        <v>0</v>
      </c>
      <c r="D10" s="306">
        <f>C10/C8</f>
        <v>0</v>
      </c>
      <c r="E10" s="299">
        <v>0</v>
      </c>
      <c r="F10" s="306" t="e">
        <f>E10/E8</f>
        <v>#DIV/0!</v>
      </c>
      <c r="G10" s="299">
        <v>0</v>
      </c>
      <c r="H10" s="299">
        <v>0</v>
      </c>
      <c r="I10" s="299">
        <v>0</v>
      </c>
      <c r="J10" s="299">
        <v>0</v>
      </c>
    </row>
    <row r="11" spans="1:10" ht="18" customHeight="1">
      <c r="A11" s="338" t="s">
        <v>55</v>
      </c>
      <c r="B11" s="339" t="s">
        <v>552</v>
      </c>
      <c r="C11" s="305">
        <f t="shared" si="0"/>
        <v>350</v>
      </c>
      <c r="D11" s="306">
        <f>C11/C8</f>
        <v>0.27559055118110237</v>
      </c>
      <c r="E11" s="299">
        <v>0</v>
      </c>
      <c r="F11" s="306" t="e">
        <f>E11/E8</f>
        <v>#DIV/0!</v>
      </c>
      <c r="G11" s="299">
        <v>350</v>
      </c>
      <c r="H11" s="299">
        <v>0</v>
      </c>
      <c r="I11" s="299">
        <v>0</v>
      </c>
      <c r="J11" s="299">
        <v>0</v>
      </c>
    </row>
    <row r="12" spans="1:10" ht="18" customHeight="1">
      <c r="A12" s="338"/>
      <c r="B12" s="339" t="s">
        <v>554</v>
      </c>
      <c r="C12" s="305">
        <f t="shared" si="0"/>
        <v>80</v>
      </c>
      <c r="D12" s="306">
        <f>C12/C8</f>
        <v>6.2992125984251968E-2</v>
      </c>
      <c r="E12" s="299">
        <v>0</v>
      </c>
      <c r="F12" s="306" t="e">
        <f>E12/E9</f>
        <v>#DIV/0!</v>
      </c>
      <c r="G12" s="299">
        <v>80</v>
      </c>
      <c r="H12" s="299">
        <v>0</v>
      </c>
      <c r="I12" s="299">
        <v>0</v>
      </c>
      <c r="J12" s="299">
        <v>0</v>
      </c>
    </row>
    <row r="13" spans="1:10" ht="18" customHeight="1">
      <c r="A13" s="338" t="s">
        <v>56</v>
      </c>
      <c r="B13" s="332" t="s">
        <v>311</v>
      </c>
      <c r="C13" s="305">
        <f t="shared" si="0"/>
        <v>300</v>
      </c>
      <c r="D13" s="306">
        <f>C13/C8</f>
        <v>0.23622047244094488</v>
      </c>
      <c r="E13" s="299">
        <v>0</v>
      </c>
      <c r="F13" s="306" t="e">
        <f>E13/E8</f>
        <v>#DIV/0!</v>
      </c>
      <c r="G13" s="299">
        <v>0</v>
      </c>
      <c r="H13" s="333">
        <v>300</v>
      </c>
      <c r="I13" s="299">
        <v>0</v>
      </c>
      <c r="J13" s="299">
        <v>0</v>
      </c>
    </row>
    <row r="14" spans="1:10" ht="18" customHeight="1">
      <c r="A14" s="338" t="s">
        <v>560</v>
      </c>
      <c r="B14" s="332" t="s">
        <v>302</v>
      </c>
      <c r="C14" s="305">
        <f t="shared" si="0"/>
        <v>90</v>
      </c>
      <c r="D14" s="306">
        <f>C14/C8</f>
        <v>7.0866141732283464E-2</v>
      </c>
      <c r="E14" s="299">
        <v>0</v>
      </c>
      <c r="F14" s="306" t="e">
        <f>E14/E8</f>
        <v>#DIV/0!</v>
      </c>
      <c r="G14" s="299">
        <v>0</v>
      </c>
      <c r="H14" s="333">
        <v>90</v>
      </c>
      <c r="I14" s="299">
        <v>0</v>
      </c>
      <c r="J14" s="299">
        <v>0</v>
      </c>
    </row>
    <row r="15" spans="1:10" ht="18" customHeight="1">
      <c r="A15" s="338" t="s">
        <v>561</v>
      </c>
      <c r="B15" s="332" t="s">
        <v>312</v>
      </c>
      <c r="C15" s="305">
        <f t="shared" si="0"/>
        <v>90</v>
      </c>
      <c r="D15" s="306">
        <f>C15/C8</f>
        <v>7.0866141732283464E-2</v>
      </c>
      <c r="E15" s="299">
        <v>0</v>
      </c>
      <c r="F15" s="306" t="e">
        <f>E15/E8</f>
        <v>#DIV/0!</v>
      </c>
      <c r="G15" s="299">
        <v>0</v>
      </c>
      <c r="H15" s="333">
        <v>90</v>
      </c>
      <c r="I15" s="299">
        <v>0</v>
      </c>
      <c r="J15" s="299">
        <v>0</v>
      </c>
    </row>
    <row r="16" spans="1:10" ht="15.75" customHeight="1">
      <c r="A16" s="338" t="s">
        <v>562</v>
      </c>
      <c r="B16" s="332" t="s">
        <v>304</v>
      </c>
      <c r="C16" s="305">
        <f t="shared" si="0"/>
        <v>240</v>
      </c>
      <c r="D16" s="306">
        <f>C16/C8</f>
        <v>0.1889763779527559</v>
      </c>
      <c r="E16" s="299">
        <v>0</v>
      </c>
      <c r="F16" s="306" t="e">
        <f>E16/E8</f>
        <v>#DIV/0!</v>
      </c>
      <c r="G16" s="299">
        <v>0</v>
      </c>
      <c r="H16" s="333">
        <v>240</v>
      </c>
      <c r="I16" s="299">
        <v>0</v>
      </c>
      <c r="J16" s="299">
        <v>0</v>
      </c>
    </row>
    <row r="17" spans="1:10" ht="18.75" customHeight="1">
      <c r="A17" s="338" t="s">
        <v>563</v>
      </c>
      <c r="B17" s="332" t="s">
        <v>555</v>
      </c>
      <c r="C17" s="305">
        <f t="shared" si="0"/>
        <v>120</v>
      </c>
      <c r="D17" s="306">
        <f>C17/C8</f>
        <v>9.4488188976377951E-2</v>
      </c>
      <c r="E17" s="299">
        <v>0</v>
      </c>
      <c r="F17" s="306" t="e">
        <f>E17/E8</f>
        <v>#DIV/0!</v>
      </c>
      <c r="G17" s="299">
        <v>0</v>
      </c>
      <c r="H17" s="333">
        <v>120</v>
      </c>
      <c r="I17" s="299">
        <v>0</v>
      </c>
      <c r="J17" s="299">
        <v>0</v>
      </c>
    </row>
    <row r="18" spans="1:10" ht="15.75" customHeight="1">
      <c r="A18" s="336" t="s">
        <v>1694</v>
      </c>
      <c r="B18" s="337" t="s">
        <v>1482</v>
      </c>
      <c r="C18" s="307">
        <f>C19+C20+C21+C22+C23+C24+C25+C26+C27</f>
        <v>2020</v>
      </c>
      <c r="D18" s="308">
        <f>C18/C7</f>
        <v>0.60843373493975905</v>
      </c>
      <c r="E18" s="307">
        <f>E19+E20+E21+E22+E23+E24+E25+E26+E27</f>
        <v>0</v>
      </c>
      <c r="F18" s="308" t="e">
        <f>E18/E7</f>
        <v>#DIV/0!</v>
      </c>
      <c r="G18" s="307">
        <f>G19+G20+G21+G22+G23+G24+G25+G26+G27</f>
        <v>880</v>
      </c>
      <c r="H18" s="307">
        <f>H19+H20+H21+H22+H23+H24+H25+H26+H27</f>
        <v>1140</v>
      </c>
      <c r="I18" s="307">
        <f>I19+I20+I21+I22+I23+I24+I25+I26+I27</f>
        <v>0</v>
      </c>
      <c r="J18" s="307">
        <f>J19+J20+J21+J22+J23+J24+J25+J26+J27</f>
        <v>0</v>
      </c>
    </row>
    <row r="19" spans="1:10" ht="15.75" customHeight="1">
      <c r="A19" s="338" t="s">
        <v>1697</v>
      </c>
      <c r="B19" s="206" t="s">
        <v>236</v>
      </c>
      <c r="C19" s="305">
        <f>E19+G19+H19+I19+J19</f>
        <v>0</v>
      </c>
      <c r="D19" s="306">
        <f>C19/C18</f>
        <v>0</v>
      </c>
      <c r="E19" s="299">
        <v>0</v>
      </c>
      <c r="F19" s="306" t="e">
        <f>E19/E18</f>
        <v>#DIV/0!</v>
      </c>
      <c r="G19" s="299">
        <v>0</v>
      </c>
      <c r="H19" s="299">
        <v>0</v>
      </c>
      <c r="I19" s="299">
        <v>0</v>
      </c>
      <c r="J19" s="299">
        <v>0</v>
      </c>
    </row>
    <row r="20" spans="1:10" ht="15.75" customHeight="1">
      <c r="A20" s="338" t="s">
        <v>1451</v>
      </c>
      <c r="B20" s="206" t="s">
        <v>564</v>
      </c>
      <c r="C20" s="305">
        <f>E20+G20+H20+I20+J20</f>
        <v>680</v>
      </c>
      <c r="D20" s="306">
        <f>C20/C18</f>
        <v>0.33663366336633666</v>
      </c>
      <c r="E20" s="299">
        <v>0</v>
      </c>
      <c r="F20" s="306" t="e">
        <f>E20/E19</f>
        <v>#DIV/0!</v>
      </c>
      <c r="G20" s="299">
        <v>680</v>
      </c>
      <c r="H20" s="299">
        <v>0</v>
      </c>
      <c r="I20" s="299">
        <v>0</v>
      </c>
      <c r="J20" s="299">
        <v>0</v>
      </c>
    </row>
    <row r="21" spans="1:10" ht="15.75" customHeight="1">
      <c r="A21" s="338" t="s">
        <v>1452</v>
      </c>
      <c r="B21" s="206" t="s">
        <v>565</v>
      </c>
      <c r="C21" s="305">
        <f t="shared" ref="C21:C29" si="1">E21+G21+H21+I21+J21</f>
        <v>450</v>
      </c>
      <c r="D21" s="306">
        <f>C21/C18</f>
        <v>0.22277227722772278</v>
      </c>
      <c r="E21" s="299">
        <v>0</v>
      </c>
      <c r="F21" s="306" t="e">
        <f t="shared" ref="F21:F27" si="2">E21/E20</f>
        <v>#DIV/0!</v>
      </c>
      <c r="G21" s="299">
        <v>0</v>
      </c>
      <c r="H21" s="299">
        <v>450</v>
      </c>
      <c r="I21" s="299">
        <v>0</v>
      </c>
      <c r="J21" s="299">
        <v>0</v>
      </c>
    </row>
    <row r="22" spans="1:10" ht="15.75" customHeight="1">
      <c r="A22" s="338" t="s">
        <v>1453</v>
      </c>
      <c r="B22" s="206" t="s">
        <v>566</v>
      </c>
      <c r="C22" s="305">
        <f t="shared" si="1"/>
        <v>200</v>
      </c>
      <c r="D22" s="306">
        <f>C22/C18</f>
        <v>9.9009900990099015E-2</v>
      </c>
      <c r="E22" s="299">
        <v>0</v>
      </c>
      <c r="F22" s="306" t="e">
        <f t="shared" si="2"/>
        <v>#DIV/0!</v>
      </c>
      <c r="G22" s="299">
        <v>200</v>
      </c>
      <c r="H22" s="299">
        <v>0</v>
      </c>
      <c r="I22" s="299">
        <v>0</v>
      </c>
      <c r="J22" s="299">
        <v>0</v>
      </c>
    </row>
    <row r="23" spans="1:10" ht="15.75" customHeight="1">
      <c r="A23" s="338" t="s">
        <v>567</v>
      </c>
      <c r="B23" s="332" t="s">
        <v>305</v>
      </c>
      <c r="C23" s="305">
        <f t="shared" si="1"/>
        <v>190</v>
      </c>
      <c r="D23" s="306">
        <f>C23/C18</f>
        <v>9.405940594059406E-2</v>
      </c>
      <c r="E23" s="299">
        <v>0</v>
      </c>
      <c r="F23" s="306" t="e">
        <f t="shared" si="2"/>
        <v>#DIV/0!</v>
      </c>
      <c r="G23" s="299">
        <v>0</v>
      </c>
      <c r="H23" s="333">
        <v>190</v>
      </c>
      <c r="I23" s="299">
        <v>0</v>
      </c>
      <c r="J23" s="299">
        <v>0</v>
      </c>
    </row>
    <row r="24" spans="1:10" ht="15.75" customHeight="1">
      <c r="A24" s="338" t="s">
        <v>568</v>
      </c>
      <c r="B24" s="332" t="s">
        <v>306</v>
      </c>
      <c r="C24" s="305">
        <f t="shared" si="1"/>
        <v>100</v>
      </c>
      <c r="D24" s="306">
        <f>C24/C18</f>
        <v>4.9504950495049507E-2</v>
      </c>
      <c r="E24" s="299">
        <v>0</v>
      </c>
      <c r="F24" s="306" t="e">
        <f t="shared" si="2"/>
        <v>#DIV/0!</v>
      </c>
      <c r="G24" s="299">
        <v>0</v>
      </c>
      <c r="H24" s="333">
        <v>100</v>
      </c>
      <c r="I24" s="299">
        <v>0</v>
      </c>
      <c r="J24" s="299">
        <v>0</v>
      </c>
    </row>
    <row r="25" spans="1:10" ht="15.75" customHeight="1">
      <c r="A25" s="338" t="s">
        <v>569</v>
      </c>
      <c r="B25" s="332" t="s">
        <v>307</v>
      </c>
      <c r="C25" s="305">
        <f t="shared" si="1"/>
        <v>220</v>
      </c>
      <c r="D25" s="306">
        <f>C25/C18</f>
        <v>0.10891089108910891</v>
      </c>
      <c r="E25" s="299">
        <v>0</v>
      </c>
      <c r="F25" s="306" t="e">
        <f t="shared" si="2"/>
        <v>#DIV/0!</v>
      </c>
      <c r="G25" s="299">
        <v>0</v>
      </c>
      <c r="H25" s="333">
        <v>220</v>
      </c>
      <c r="I25" s="299">
        <v>0</v>
      </c>
      <c r="J25" s="299">
        <v>0</v>
      </c>
    </row>
    <row r="26" spans="1:10" ht="15.75" customHeight="1">
      <c r="A26" s="338" t="s">
        <v>570</v>
      </c>
      <c r="B26" s="332" t="s">
        <v>308</v>
      </c>
      <c r="C26" s="305">
        <f t="shared" si="1"/>
        <v>120</v>
      </c>
      <c r="D26" s="306">
        <f>C26/C18</f>
        <v>5.9405940594059403E-2</v>
      </c>
      <c r="E26" s="299">
        <v>0</v>
      </c>
      <c r="F26" s="306" t="e">
        <f t="shared" si="2"/>
        <v>#DIV/0!</v>
      </c>
      <c r="G26" s="299">
        <v>0</v>
      </c>
      <c r="H26" s="333">
        <v>120</v>
      </c>
      <c r="I26" s="299">
        <v>0</v>
      </c>
      <c r="J26" s="299">
        <v>0</v>
      </c>
    </row>
    <row r="27" spans="1:10" ht="15.75" customHeight="1">
      <c r="A27" s="338" t="s">
        <v>571</v>
      </c>
      <c r="B27" s="332" t="s">
        <v>313</v>
      </c>
      <c r="C27" s="305">
        <f t="shared" si="1"/>
        <v>60</v>
      </c>
      <c r="D27" s="306">
        <f>C27/C18</f>
        <v>2.9702970297029702E-2</v>
      </c>
      <c r="E27" s="299">
        <v>0</v>
      </c>
      <c r="F27" s="306" t="e">
        <f t="shared" si="2"/>
        <v>#DIV/0!</v>
      </c>
      <c r="G27" s="299">
        <v>0</v>
      </c>
      <c r="H27" s="333">
        <v>60</v>
      </c>
      <c r="I27" s="299">
        <v>0</v>
      </c>
      <c r="J27" s="299">
        <v>0</v>
      </c>
    </row>
    <row r="28" spans="1:10" ht="15.75" customHeight="1">
      <c r="A28" s="336" t="s">
        <v>1759</v>
      </c>
      <c r="B28" s="337" t="s">
        <v>1599</v>
      </c>
      <c r="C28" s="307">
        <f>C29</f>
        <v>30</v>
      </c>
      <c r="D28" s="308">
        <f>C28/C7</f>
        <v>9.0361445783132526E-3</v>
      </c>
      <c r="E28" s="309">
        <f>E29</f>
        <v>0</v>
      </c>
      <c r="F28" s="308" t="e">
        <f>E28/E7</f>
        <v>#DIV/0!</v>
      </c>
      <c r="G28" s="309">
        <f>G29</f>
        <v>30</v>
      </c>
      <c r="H28" s="309">
        <f>H29</f>
        <v>0</v>
      </c>
      <c r="I28" s="309">
        <f>I29</f>
        <v>0</v>
      </c>
      <c r="J28" s="309">
        <f>J29</f>
        <v>0</v>
      </c>
    </row>
    <row r="29" spans="1:10" ht="15.75" customHeight="1">
      <c r="A29" s="338" t="s">
        <v>1454</v>
      </c>
      <c r="B29" s="265" t="s">
        <v>572</v>
      </c>
      <c r="C29" s="305">
        <f t="shared" si="1"/>
        <v>30</v>
      </c>
      <c r="D29" s="306">
        <f>C29/C28</f>
        <v>1</v>
      </c>
      <c r="E29" s="299">
        <v>0</v>
      </c>
      <c r="F29" s="306"/>
      <c r="G29" s="299">
        <v>30</v>
      </c>
      <c r="H29" s="299">
        <v>0</v>
      </c>
      <c r="I29" s="299">
        <v>0</v>
      </c>
      <c r="J29" s="299">
        <v>0</v>
      </c>
    </row>
    <row r="30" spans="1:10" ht="15.75" customHeight="1">
      <c r="A30" s="336" t="s">
        <v>1760</v>
      </c>
      <c r="B30" s="337" t="s">
        <v>1600</v>
      </c>
      <c r="C30" s="307">
        <v>0</v>
      </c>
      <c r="D30" s="308">
        <f>C30/C7</f>
        <v>0</v>
      </c>
      <c r="E30" s="309">
        <v>0</v>
      </c>
      <c r="F30" s="308" t="e">
        <f>E30/E7</f>
        <v>#DIV/0!</v>
      </c>
      <c r="G30" s="309">
        <v>0</v>
      </c>
      <c r="H30" s="309">
        <v>0</v>
      </c>
      <c r="I30" s="309">
        <v>0</v>
      </c>
      <c r="J30" s="309">
        <v>0</v>
      </c>
    </row>
    <row r="31" spans="1:10" ht="15" customHeight="1">
      <c r="A31" s="292" t="s">
        <v>1739</v>
      </c>
      <c r="B31" s="318" t="s">
        <v>1536</v>
      </c>
      <c r="C31" s="293">
        <f>C32</f>
        <v>1000</v>
      </c>
      <c r="D31" s="294">
        <f>C31/C33</f>
        <v>0.23148148148148148</v>
      </c>
      <c r="E31" s="296">
        <f>E32</f>
        <v>0</v>
      </c>
      <c r="F31" s="294" t="e">
        <f>E31/E33</f>
        <v>#DIV/0!</v>
      </c>
      <c r="G31" s="296">
        <f>G32</f>
        <v>0</v>
      </c>
      <c r="H31" s="296">
        <f>H32</f>
        <v>0</v>
      </c>
      <c r="I31" s="296">
        <f>I32</f>
        <v>500</v>
      </c>
      <c r="J31" s="296">
        <f>J32</f>
        <v>500</v>
      </c>
    </row>
    <row r="32" spans="1:10" ht="15" customHeight="1">
      <c r="A32" s="340" t="s">
        <v>1698</v>
      </c>
      <c r="B32" s="206" t="s">
        <v>573</v>
      </c>
      <c r="C32" s="305">
        <f>E32+G32+H32+I32+J32</f>
        <v>1000</v>
      </c>
      <c r="D32" s="306">
        <f>C32/C31</f>
        <v>1</v>
      </c>
      <c r="E32" s="299">
        <v>0</v>
      </c>
      <c r="F32" s="306"/>
      <c r="G32" s="299">
        <v>0</v>
      </c>
      <c r="H32" s="299">
        <v>0</v>
      </c>
      <c r="I32" s="299">
        <v>500</v>
      </c>
      <c r="J32" s="299">
        <v>500</v>
      </c>
    </row>
    <row r="33" spans="1:10" ht="15.75" customHeight="1">
      <c r="A33" s="1307" t="s">
        <v>14</v>
      </c>
      <c r="B33" s="1308"/>
      <c r="C33" s="259">
        <f>C7+C31</f>
        <v>4320</v>
      </c>
      <c r="D33" s="254"/>
      <c r="E33" s="259">
        <f>E7+E31</f>
        <v>0</v>
      </c>
      <c r="F33" s="254"/>
      <c r="G33" s="259">
        <f>G7+G31</f>
        <v>1340</v>
      </c>
      <c r="H33" s="259">
        <f>H7+H31</f>
        <v>1980</v>
      </c>
      <c r="I33" s="259">
        <f>I7+I31</f>
        <v>500</v>
      </c>
      <c r="J33" s="259">
        <f>J7+J31</f>
        <v>500</v>
      </c>
    </row>
  </sheetData>
  <mergeCells count="14">
    <mergeCell ref="A33:B33"/>
    <mergeCell ref="A1:J1"/>
    <mergeCell ref="C4:C5"/>
    <mergeCell ref="D4:D5"/>
    <mergeCell ref="E3:F3"/>
    <mergeCell ref="G4:G5"/>
    <mergeCell ref="C2:D3"/>
    <mergeCell ref="E2:J2"/>
    <mergeCell ref="E4:F4"/>
    <mergeCell ref="J4:J5"/>
    <mergeCell ref="A2:A5"/>
    <mergeCell ref="B2:B5"/>
    <mergeCell ref="H4:H5"/>
    <mergeCell ref="I4:I5"/>
  </mergeCells>
  <phoneticPr fontId="2" type="noConversion"/>
  <pageMargins left="0.78740157480314965" right="0.39370078740157483" top="0.70866141732283472" bottom="0.98425196850393704" header="0.51181102362204722" footer="0.51181102362204722"/>
  <pageSetup paperSize="9" scale="80" orientation="landscape" r:id="rId1"/>
  <headerFooter alignWithMargins="0"/>
  <ignoredErrors>
    <ignoredError sqref="A30:A31 A7:A8 A18 A28" numberStoredAsText="1"/>
  </ignoredErrors>
</worksheet>
</file>

<file path=xl/worksheets/sheet26.xml><?xml version="1.0" encoding="utf-8"?>
<worksheet xmlns="http://schemas.openxmlformats.org/spreadsheetml/2006/main" xmlns:r="http://schemas.openxmlformats.org/officeDocument/2006/relationships">
  <sheetPr codeName="Лист26">
    <tabColor rgb="FF00B0F0"/>
  </sheetPr>
  <dimension ref="A4:L43"/>
  <sheetViews>
    <sheetView view="pageBreakPreview" topLeftCell="A12" zoomScale="85" zoomScaleNormal="55" zoomScaleSheetLayoutView="85" zoomScalePageLayoutView="85" workbookViewId="0">
      <selection activeCell="D28" sqref="D28"/>
    </sheetView>
  </sheetViews>
  <sheetFormatPr defaultRowHeight="15"/>
  <cols>
    <col min="1" max="1" width="4.5703125" style="139" customWidth="1"/>
    <col min="2" max="2" width="59.5703125" style="90" customWidth="1"/>
    <col min="3" max="3" width="8.28515625" style="90" customWidth="1"/>
    <col min="4" max="4" width="16.5703125" style="90" customWidth="1"/>
    <col min="5" max="5" width="17" style="90" customWidth="1"/>
    <col min="6" max="6" width="18.5703125" style="90" customWidth="1"/>
    <col min="7" max="7" width="20.7109375" style="90" customWidth="1"/>
    <col min="8" max="8" width="18" style="90" customWidth="1"/>
    <col min="9" max="9" width="10.5703125" style="90" customWidth="1"/>
    <col min="10" max="16384" width="9.140625" style="90"/>
  </cols>
  <sheetData>
    <row r="4" spans="1:9" ht="20.25" customHeight="1">
      <c r="A4" s="1312" t="s">
        <v>1483</v>
      </c>
      <c r="B4" s="1313"/>
      <c r="C4" s="1313"/>
      <c r="D4" s="1313"/>
      <c r="E4" s="1313"/>
      <c r="F4" s="1313"/>
      <c r="G4" s="1313"/>
      <c r="H4" s="1313"/>
      <c r="I4" s="1314"/>
    </row>
    <row r="5" spans="1:9" ht="153" customHeight="1">
      <c r="A5" s="663" t="s">
        <v>1531</v>
      </c>
      <c r="B5" s="39" t="s">
        <v>1484</v>
      </c>
      <c r="C5" s="39" t="s">
        <v>1485</v>
      </c>
      <c r="D5" s="12" t="s">
        <v>1266</v>
      </c>
      <c r="E5" s="12" t="s">
        <v>1270</v>
      </c>
      <c r="F5" s="39" t="s">
        <v>1271</v>
      </c>
      <c r="G5" s="39" t="s">
        <v>1272</v>
      </c>
      <c r="H5" s="39" t="s">
        <v>1269</v>
      </c>
      <c r="I5" s="39" t="s">
        <v>1584</v>
      </c>
    </row>
    <row r="6" spans="1:9">
      <c r="A6" s="237">
        <v>1</v>
      </c>
      <c r="B6" s="236">
        <v>2</v>
      </c>
      <c r="C6" s="236">
        <v>3</v>
      </c>
      <c r="D6" s="238">
        <v>4</v>
      </c>
      <c r="E6" s="238">
        <v>5</v>
      </c>
      <c r="F6" s="236">
        <v>6</v>
      </c>
      <c r="G6" s="236">
        <v>7</v>
      </c>
      <c r="H6" s="236">
        <v>8</v>
      </c>
      <c r="I6" s="238">
        <v>9</v>
      </c>
    </row>
    <row r="7" spans="1:9">
      <c r="A7" s="92"/>
      <c r="B7" s="332" t="s">
        <v>300</v>
      </c>
      <c r="C7" s="335">
        <v>2014</v>
      </c>
      <c r="D7" s="810">
        <v>270</v>
      </c>
      <c r="E7" s="332"/>
      <c r="F7" s="332"/>
      <c r="G7" s="683">
        <f>'5.3. АСДТК'!E9</f>
        <v>0</v>
      </c>
      <c r="H7" s="332"/>
      <c r="I7" s="75"/>
    </row>
    <row r="8" spans="1:9">
      <c r="A8" s="92"/>
      <c r="B8" s="332" t="s">
        <v>301</v>
      </c>
      <c r="C8" s="335">
        <v>2016</v>
      </c>
      <c r="D8" s="810">
        <v>300</v>
      </c>
      <c r="E8" s="332"/>
      <c r="F8" s="332"/>
      <c r="G8" s="684"/>
      <c r="H8" s="811">
        <v>300</v>
      </c>
      <c r="I8" s="75"/>
    </row>
    <row r="9" spans="1:9">
      <c r="A9" s="92"/>
      <c r="B9" s="332" t="s">
        <v>302</v>
      </c>
      <c r="C9" s="335">
        <v>2016</v>
      </c>
      <c r="D9" s="810">
        <v>90</v>
      </c>
      <c r="E9" s="332"/>
      <c r="F9" s="332"/>
      <c r="G9" s="684"/>
      <c r="H9" s="811">
        <v>90</v>
      </c>
      <c r="I9" s="75"/>
    </row>
    <row r="10" spans="1:9">
      <c r="A10" s="92"/>
      <c r="B10" s="332" t="s">
        <v>303</v>
      </c>
      <c r="C10" s="335">
        <v>2016</v>
      </c>
      <c r="D10" s="810">
        <v>90</v>
      </c>
      <c r="E10" s="332"/>
      <c r="F10" s="332"/>
      <c r="G10" s="684"/>
      <c r="H10" s="811">
        <v>90</v>
      </c>
      <c r="I10" s="75"/>
    </row>
    <row r="11" spans="1:9">
      <c r="A11" s="92"/>
      <c r="B11" s="332" t="s">
        <v>304</v>
      </c>
      <c r="C11" s="335">
        <v>2016</v>
      </c>
      <c r="D11" s="810">
        <v>240</v>
      </c>
      <c r="E11" s="332"/>
      <c r="F11" s="332"/>
      <c r="G11" s="684"/>
      <c r="H11" s="811">
        <v>240</v>
      </c>
      <c r="I11" s="75"/>
    </row>
    <row r="12" spans="1:9">
      <c r="A12" s="92"/>
      <c r="B12" s="332" t="s">
        <v>552</v>
      </c>
      <c r="C12" s="335">
        <v>2015</v>
      </c>
      <c r="D12" s="810">
        <v>900</v>
      </c>
      <c r="E12" s="332"/>
      <c r="F12" s="332"/>
      <c r="G12" s="684"/>
      <c r="H12" s="811">
        <v>900</v>
      </c>
      <c r="I12" s="75"/>
    </row>
    <row r="13" spans="1:9">
      <c r="A13" s="92"/>
      <c r="B13" s="332" t="s">
        <v>553</v>
      </c>
      <c r="C13" s="335">
        <v>2014</v>
      </c>
      <c r="D13" s="810">
        <v>40</v>
      </c>
      <c r="E13" s="332"/>
      <c r="F13" s="332"/>
      <c r="G13" s="683">
        <f>'5.3. АСДТК'!E10</f>
        <v>0</v>
      </c>
      <c r="H13" s="334"/>
      <c r="I13" s="75"/>
    </row>
    <row r="14" spans="1:9">
      <c r="A14" s="92"/>
      <c r="B14" s="332" t="s">
        <v>554</v>
      </c>
      <c r="C14" s="335">
        <v>2015</v>
      </c>
      <c r="D14" s="810">
        <v>80</v>
      </c>
      <c r="E14" s="332"/>
      <c r="F14" s="332"/>
      <c r="G14" s="685"/>
      <c r="H14" s="811">
        <v>80</v>
      </c>
      <c r="I14" s="75"/>
    </row>
    <row r="15" spans="1:9">
      <c r="A15" s="92"/>
      <c r="B15" s="332" t="s">
        <v>555</v>
      </c>
      <c r="C15" s="335">
        <v>2016</v>
      </c>
      <c r="D15" s="810">
        <v>120</v>
      </c>
      <c r="E15" s="332"/>
      <c r="F15" s="332"/>
      <c r="G15" s="685"/>
      <c r="H15" s="811">
        <v>120</v>
      </c>
      <c r="I15" s="75"/>
    </row>
    <row r="16" spans="1:9">
      <c r="A16" s="92"/>
      <c r="B16" s="332" t="s">
        <v>305</v>
      </c>
      <c r="C16" s="335">
        <v>2016</v>
      </c>
      <c r="D16" s="810">
        <v>190</v>
      </c>
      <c r="E16" s="332"/>
      <c r="F16" s="332"/>
      <c r="G16" s="684"/>
      <c r="H16" s="811">
        <v>190</v>
      </c>
      <c r="I16" s="75"/>
    </row>
    <row r="17" spans="1:9">
      <c r="A17" s="92"/>
      <c r="B17" s="332" t="s">
        <v>306</v>
      </c>
      <c r="C17" s="335">
        <v>2016</v>
      </c>
      <c r="D17" s="810">
        <v>100</v>
      </c>
      <c r="E17" s="332"/>
      <c r="F17" s="332"/>
      <c r="G17" s="684"/>
      <c r="H17" s="811">
        <v>100</v>
      </c>
      <c r="I17" s="75"/>
    </row>
    <row r="18" spans="1:9">
      <c r="A18" s="92"/>
      <c r="B18" s="332" t="s">
        <v>307</v>
      </c>
      <c r="C18" s="335">
        <v>2016</v>
      </c>
      <c r="D18" s="810">
        <v>220</v>
      </c>
      <c r="E18" s="332"/>
      <c r="F18" s="332"/>
      <c r="G18" s="684"/>
      <c r="H18" s="811">
        <v>220</v>
      </c>
      <c r="I18" s="75"/>
    </row>
    <row r="19" spans="1:9">
      <c r="A19" s="92"/>
      <c r="B19" s="332" t="s">
        <v>308</v>
      </c>
      <c r="C19" s="335">
        <v>2016</v>
      </c>
      <c r="D19" s="810">
        <v>120</v>
      </c>
      <c r="E19" s="332"/>
      <c r="F19" s="332"/>
      <c r="G19" s="684"/>
      <c r="H19" s="811">
        <v>120</v>
      </c>
      <c r="I19" s="75"/>
    </row>
    <row r="20" spans="1:9">
      <c r="A20" s="92"/>
      <c r="B20" s="332" t="s">
        <v>309</v>
      </c>
      <c r="C20" s="335">
        <v>2016</v>
      </c>
      <c r="D20" s="810">
        <v>60</v>
      </c>
      <c r="E20" s="332"/>
      <c r="F20" s="332"/>
      <c r="G20" s="684"/>
      <c r="H20" s="811">
        <v>60</v>
      </c>
      <c r="I20" s="75"/>
    </row>
    <row r="21" spans="1:9">
      <c r="A21" s="92"/>
      <c r="B21" s="332" t="s">
        <v>556</v>
      </c>
      <c r="C21" s="335">
        <v>2015</v>
      </c>
      <c r="D21" s="344">
        <v>2500</v>
      </c>
      <c r="E21" s="332"/>
      <c r="F21" s="332"/>
      <c r="G21" s="684"/>
      <c r="H21" s="335">
        <v>2500</v>
      </c>
      <c r="I21" s="75"/>
    </row>
    <row r="22" spans="1:9">
      <c r="A22" s="92"/>
      <c r="B22" s="332" t="s">
        <v>557</v>
      </c>
      <c r="C22" s="335">
        <v>2016</v>
      </c>
      <c r="D22" s="344">
        <v>1000</v>
      </c>
      <c r="E22" s="332"/>
      <c r="F22" s="332"/>
      <c r="G22" s="684"/>
      <c r="H22" s="335">
        <v>1000</v>
      </c>
      <c r="I22" s="75"/>
    </row>
    <row r="23" spans="1:9">
      <c r="A23" s="92"/>
      <c r="B23" s="332" t="s">
        <v>558</v>
      </c>
      <c r="C23" s="335">
        <v>2015</v>
      </c>
      <c r="D23" s="344">
        <v>200</v>
      </c>
      <c r="E23" s="332"/>
      <c r="F23" s="332"/>
      <c r="G23" s="684"/>
      <c r="H23" s="335">
        <v>200</v>
      </c>
      <c r="I23" s="75"/>
    </row>
    <row r="24" spans="1:9">
      <c r="A24" s="92"/>
      <c r="B24" s="332" t="s">
        <v>559</v>
      </c>
      <c r="C24" s="335">
        <v>2017</v>
      </c>
      <c r="D24" s="344">
        <v>500</v>
      </c>
      <c r="E24" s="332"/>
      <c r="F24" s="332"/>
      <c r="G24" s="684"/>
      <c r="H24" s="335">
        <v>500</v>
      </c>
      <c r="I24" s="75"/>
    </row>
    <row r="25" spans="1:9">
      <c r="A25" s="92"/>
      <c r="B25" s="332" t="s">
        <v>559</v>
      </c>
      <c r="C25" s="335">
        <v>2018</v>
      </c>
      <c r="D25" s="344">
        <v>500</v>
      </c>
      <c r="E25" s="332"/>
      <c r="F25" s="332"/>
      <c r="G25" s="684"/>
      <c r="H25" s="335">
        <v>500</v>
      </c>
      <c r="I25" s="75"/>
    </row>
    <row r="26" spans="1:9">
      <c r="A26" s="92"/>
      <c r="B26" s="332" t="s">
        <v>236</v>
      </c>
      <c r="C26" s="335">
        <v>2014</v>
      </c>
      <c r="D26" s="344">
        <v>100</v>
      </c>
      <c r="E26" s="332"/>
      <c r="F26" s="332"/>
      <c r="G26" s="683">
        <f>'5.3. АСДТК'!E19</f>
        <v>0</v>
      </c>
      <c r="H26" s="332"/>
      <c r="I26" s="75"/>
    </row>
    <row r="27" spans="1:9">
      <c r="A27" s="92"/>
      <c r="B27" s="341" t="s">
        <v>574</v>
      </c>
      <c r="C27" s="335">
        <v>2015</v>
      </c>
      <c r="D27" s="75">
        <v>30</v>
      </c>
      <c r="E27" s="75"/>
      <c r="F27" s="39"/>
      <c r="G27" s="39"/>
      <c r="H27" s="39">
        <v>30</v>
      </c>
      <c r="I27" s="75"/>
    </row>
    <row r="28" spans="1:9">
      <c r="A28" s="92"/>
      <c r="B28" s="332" t="s">
        <v>310</v>
      </c>
      <c r="C28" s="39">
        <v>2013</v>
      </c>
      <c r="D28" s="75">
        <v>436.6</v>
      </c>
      <c r="E28" s="75">
        <v>436.6</v>
      </c>
      <c r="F28" s="75">
        <v>436.6</v>
      </c>
      <c r="G28" s="39"/>
      <c r="H28" s="39"/>
      <c r="I28" s="75"/>
    </row>
    <row r="29" spans="1:9">
      <c r="A29" s="92"/>
      <c r="B29" s="332"/>
      <c r="C29" s="68">
        <v>2013</v>
      </c>
      <c r="D29" s="68">
        <f>D28</f>
        <v>436.6</v>
      </c>
      <c r="E29" s="68">
        <f>E28</f>
        <v>436.6</v>
      </c>
      <c r="F29" s="72">
        <f>F28</f>
        <v>436.6</v>
      </c>
      <c r="G29" s="72">
        <f>G28</f>
        <v>0</v>
      </c>
      <c r="H29" s="72">
        <f>H28</f>
        <v>0</v>
      </c>
      <c r="I29" s="75"/>
    </row>
    <row r="30" spans="1:9">
      <c r="A30" s="92"/>
      <c r="B30" s="332"/>
      <c r="C30" s="68">
        <v>2014</v>
      </c>
      <c r="D30" s="68">
        <f>D7+D13+D26</f>
        <v>410</v>
      </c>
      <c r="E30" s="68">
        <f>E7+E13+E26</f>
        <v>0</v>
      </c>
      <c r="F30" s="68">
        <f>F7+F13+F26</f>
        <v>0</v>
      </c>
      <c r="G30" s="202">
        <f>G7+G13+G26</f>
        <v>0</v>
      </c>
      <c r="H30" s="68">
        <f>H7+H13+H26</f>
        <v>0</v>
      </c>
      <c r="I30" s="75"/>
    </row>
    <row r="31" spans="1:9">
      <c r="A31" s="92"/>
      <c r="B31" s="332"/>
      <c r="C31" s="68">
        <v>2015</v>
      </c>
      <c r="D31" s="68">
        <f>D12+D14+D21+D23+D27</f>
        <v>3710</v>
      </c>
      <c r="E31" s="68">
        <f>E12+E14+E21+E23+E27</f>
        <v>0</v>
      </c>
      <c r="F31" s="68">
        <f>F12+F14+F21+F23+F27</f>
        <v>0</v>
      </c>
      <c r="G31" s="68">
        <f>G12+G14+G21+G23+G27</f>
        <v>0</v>
      </c>
      <c r="H31" s="68">
        <f>H12+H14+H21+H23+H27</f>
        <v>3710</v>
      </c>
      <c r="I31" s="75"/>
    </row>
    <row r="32" spans="1:9">
      <c r="A32" s="92"/>
      <c r="B32" s="39"/>
      <c r="C32" s="68">
        <v>2016</v>
      </c>
      <c r="D32" s="68">
        <f>D8+D9+D10+D11+D15+D16+D17+D18+D19+D20+D22</f>
        <v>2530</v>
      </c>
      <c r="E32" s="68">
        <f>E8+E9+E10+E11+E15+E16+E17+E18+E19+E20+E22</f>
        <v>0</v>
      </c>
      <c r="F32" s="68">
        <f>F8+F9+F10+F11+F15+F16+F17+F18+F19+F20+F22</f>
        <v>0</v>
      </c>
      <c r="G32" s="68">
        <f>G8+G9+G10+G11+G15+G16+G17+G18+G19+G20+G22</f>
        <v>0</v>
      </c>
      <c r="H32" s="68">
        <f>H8+H9+H10+H11+H15+H16+H17+H18+H19+H20+H22</f>
        <v>2530</v>
      </c>
      <c r="I32" s="75"/>
    </row>
    <row r="33" spans="1:12">
      <c r="A33" s="137"/>
      <c r="B33" s="124"/>
      <c r="C33" s="68">
        <v>2017</v>
      </c>
      <c r="D33" s="68">
        <f t="shared" ref="D33:H34" si="0">D24</f>
        <v>500</v>
      </c>
      <c r="E33" s="226">
        <f t="shared" si="0"/>
        <v>0</v>
      </c>
      <c r="F33" s="226">
        <f t="shared" si="0"/>
        <v>0</v>
      </c>
      <c r="G33" s="226">
        <f t="shared" si="0"/>
        <v>0</v>
      </c>
      <c r="H33" s="226">
        <f t="shared" si="0"/>
        <v>500</v>
      </c>
      <c r="I33" s="124"/>
    </row>
    <row r="34" spans="1:12">
      <c r="A34" s="137"/>
      <c r="B34" s="124"/>
      <c r="C34" s="68">
        <v>2018</v>
      </c>
      <c r="D34" s="68">
        <f t="shared" si="0"/>
        <v>500</v>
      </c>
      <c r="E34" s="226">
        <f t="shared" si="0"/>
        <v>0</v>
      </c>
      <c r="F34" s="226">
        <f t="shared" si="0"/>
        <v>0</v>
      </c>
      <c r="G34" s="226">
        <f t="shared" si="0"/>
        <v>0</v>
      </c>
      <c r="H34" s="226">
        <f t="shared" si="0"/>
        <v>500</v>
      </c>
      <c r="I34" s="124"/>
    </row>
    <row r="35" spans="1:12">
      <c r="A35" s="1311" t="s">
        <v>14</v>
      </c>
      <c r="B35" s="1311"/>
      <c r="C35" s="262"/>
      <c r="D35" s="229">
        <f>SUM(D7:D28)</f>
        <v>8086.6</v>
      </c>
      <c r="E35" s="229">
        <f>SUM(E7:E28)</f>
        <v>436.6</v>
      </c>
      <c r="F35" s="229">
        <f>SUM(F7:F28)</f>
        <v>436.6</v>
      </c>
      <c r="G35" s="227">
        <f>SUM(G7:G28)</f>
        <v>0</v>
      </c>
      <c r="H35" s="229">
        <f>SUM(H7:H28)</f>
        <v>7240</v>
      </c>
      <c r="I35" s="262"/>
    </row>
    <row r="38" spans="1:12" s="98" customFormat="1" ht="12.75">
      <c r="A38" s="99"/>
      <c r="B38" s="99"/>
      <c r="C38" s="97"/>
      <c r="D38" s="97"/>
      <c r="E38" s="97"/>
      <c r="F38" s="97"/>
      <c r="G38" s="97"/>
      <c r="H38" s="97"/>
      <c r="I38" s="97"/>
      <c r="J38" s="97"/>
      <c r="K38" s="97"/>
      <c r="L38" s="97"/>
    </row>
    <row r="39" spans="1:12">
      <c r="A39" s="90"/>
      <c r="B39" s="211" t="s">
        <v>248</v>
      </c>
      <c r="C39" s="212"/>
      <c r="D39" s="212"/>
      <c r="E39" s="212"/>
      <c r="F39" s="213"/>
      <c r="G39" s="958" t="s">
        <v>249</v>
      </c>
      <c r="H39" s="958"/>
      <c r="I39" s="958"/>
    </row>
    <row r="40" spans="1:12">
      <c r="B40" s="214" t="s">
        <v>250</v>
      </c>
      <c r="C40" s="212"/>
      <c r="D40" s="212"/>
      <c r="E40" s="212"/>
      <c r="F40" s="212"/>
      <c r="G40" s="1310" t="s">
        <v>143</v>
      </c>
      <c r="H40" s="1310"/>
      <c r="I40" s="1310"/>
    </row>
    <row r="41" spans="1:12">
      <c r="B41" s="214"/>
      <c r="C41" s="212"/>
      <c r="D41" s="212"/>
      <c r="E41" s="212"/>
      <c r="F41" s="212"/>
      <c r="G41" s="212"/>
      <c r="H41" s="212"/>
      <c r="I41" s="212"/>
    </row>
    <row r="42" spans="1:12">
      <c r="B42" s="215" t="s">
        <v>1789</v>
      </c>
      <c r="C42" s="212"/>
      <c r="D42" s="212"/>
      <c r="E42" s="212"/>
      <c r="F42" s="212"/>
      <c r="G42" s="212"/>
      <c r="H42" s="212"/>
      <c r="I42" s="212"/>
    </row>
    <row r="43" spans="1:12">
      <c r="B43" s="216" t="s">
        <v>12</v>
      </c>
      <c r="C43" s="217"/>
      <c r="D43" s="217"/>
      <c r="E43" s="217"/>
      <c r="F43" s="217"/>
      <c r="G43" s="217"/>
      <c r="H43" s="217"/>
      <c r="I43" s="218"/>
    </row>
  </sheetData>
  <mergeCells count="4">
    <mergeCell ref="G39:I39"/>
    <mergeCell ref="G40:I40"/>
    <mergeCell ref="A35:B35"/>
    <mergeCell ref="A4:I4"/>
  </mergeCells>
  <phoneticPr fontId="2" type="noConversion"/>
  <pageMargins left="0.43307086614173229" right="0.31496062992125984" top="0.82677165354330717" bottom="0.98425196850393704" header="0.51181102362204722" footer="0.51181102362204722"/>
  <pageSetup paperSize="9" scale="80" orientation="landscape" r:id="rId1"/>
  <headerFooter alignWithMargins="0"/>
</worksheet>
</file>

<file path=xl/worksheets/sheet27.xml><?xml version="1.0" encoding="utf-8"?>
<worksheet xmlns="http://schemas.openxmlformats.org/spreadsheetml/2006/main" xmlns:r="http://schemas.openxmlformats.org/officeDocument/2006/relationships">
  <sheetPr codeName="Лист27">
    <tabColor rgb="FF00B0F0"/>
  </sheetPr>
  <dimension ref="A1:J47"/>
  <sheetViews>
    <sheetView view="pageBreakPreview" topLeftCell="A34" zoomScaleNormal="100" zoomScaleSheetLayoutView="100" workbookViewId="0">
      <selection activeCell="G7" sqref="G7:G8"/>
    </sheetView>
  </sheetViews>
  <sheetFormatPr defaultRowHeight="15"/>
  <cols>
    <col min="1" max="1" width="6.140625" style="82" customWidth="1"/>
    <col min="2" max="2" width="40.42578125" style="82" customWidth="1"/>
    <col min="3" max="3" width="13.28515625" style="82" customWidth="1"/>
    <col min="4" max="4" width="9.28515625" style="82" customWidth="1"/>
    <col min="5" max="5" width="13.85546875" style="82" customWidth="1"/>
    <col min="6" max="6" width="9.28515625" style="82" customWidth="1"/>
    <col min="7" max="7" width="11.28515625" style="82" customWidth="1"/>
    <col min="8" max="8" width="12" style="82" customWidth="1"/>
    <col min="9" max="9" width="11.42578125" style="82" customWidth="1"/>
    <col min="10" max="10" width="11.28515625" style="82" customWidth="1"/>
    <col min="11" max="16384" width="9.140625" style="82"/>
  </cols>
  <sheetData>
    <row r="1" spans="1:10" s="94" customFormat="1" ht="18" customHeight="1">
      <c r="A1" s="97"/>
      <c r="B1" s="97"/>
      <c r="C1" s="97"/>
      <c r="D1" s="97"/>
      <c r="E1" s="162"/>
      <c r="F1" s="97"/>
      <c r="G1" s="97"/>
      <c r="H1" s="97"/>
      <c r="I1" s="97"/>
      <c r="J1" s="97"/>
    </row>
    <row r="2" spans="1:10" s="94" customFormat="1" ht="15.75">
      <c r="A2" s="97"/>
      <c r="B2" s="97"/>
      <c r="C2" s="97"/>
      <c r="D2" s="97"/>
      <c r="E2" s="97"/>
      <c r="F2" s="97"/>
      <c r="G2" s="97"/>
      <c r="H2" s="959"/>
      <c r="I2" s="959"/>
      <c r="J2" s="959"/>
    </row>
    <row r="3" spans="1:10" s="94" customFormat="1" ht="7.5" customHeight="1">
      <c r="A3" s="97"/>
      <c r="B3" s="97"/>
      <c r="C3" s="97"/>
      <c r="D3" s="97"/>
      <c r="E3" s="97"/>
      <c r="F3" s="97"/>
      <c r="G3" s="33"/>
      <c r="H3" s="35"/>
      <c r="I3" s="35"/>
      <c r="J3" s="35"/>
    </row>
    <row r="4" spans="1:10" ht="25.5" customHeight="1">
      <c r="A4" s="985" t="s">
        <v>1493</v>
      </c>
      <c r="B4" s="985"/>
      <c r="C4" s="985"/>
      <c r="D4" s="985"/>
      <c r="E4" s="985"/>
      <c r="F4" s="985"/>
      <c r="G4" s="985"/>
      <c r="H4" s="985"/>
      <c r="I4" s="985"/>
      <c r="J4" s="985"/>
    </row>
    <row r="5" spans="1:10" ht="15.75" customHeight="1">
      <c r="A5" s="975" t="s">
        <v>1531</v>
      </c>
      <c r="B5" s="975" t="s">
        <v>1538</v>
      </c>
      <c r="C5" s="989" t="s">
        <v>333</v>
      </c>
      <c r="D5" s="989"/>
      <c r="E5" s="975" t="s">
        <v>1432</v>
      </c>
      <c r="F5" s="975"/>
      <c r="G5" s="975"/>
      <c r="H5" s="975"/>
      <c r="I5" s="975"/>
      <c r="J5" s="975"/>
    </row>
    <row r="6" spans="1:10" ht="30" customHeight="1">
      <c r="A6" s="975"/>
      <c r="B6" s="975"/>
      <c r="C6" s="989"/>
      <c r="D6" s="989"/>
      <c r="E6" s="989">
        <v>2014</v>
      </c>
      <c r="F6" s="989"/>
      <c r="G6" s="62">
        <v>2015</v>
      </c>
      <c r="H6" s="62">
        <v>2016</v>
      </c>
      <c r="I6" s="62">
        <v>2017</v>
      </c>
      <c r="J6" s="62">
        <v>2018</v>
      </c>
    </row>
    <row r="7" spans="1:10" ht="18.75" customHeight="1">
      <c r="A7" s="975"/>
      <c r="B7" s="975"/>
      <c r="C7" s="975" t="s">
        <v>1437</v>
      </c>
      <c r="D7" s="975" t="s">
        <v>1534</v>
      </c>
      <c r="E7" s="975" t="s">
        <v>1445</v>
      </c>
      <c r="F7" s="975"/>
      <c r="G7" s="975" t="s">
        <v>359</v>
      </c>
      <c r="H7" s="975" t="s">
        <v>1437</v>
      </c>
      <c r="I7" s="975" t="s">
        <v>1437</v>
      </c>
      <c r="J7" s="975" t="s">
        <v>1437</v>
      </c>
    </row>
    <row r="8" spans="1:10" ht="18.75" customHeight="1">
      <c r="A8" s="975"/>
      <c r="B8" s="975"/>
      <c r="C8" s="975"/>
      <c r="D8" s="975"/>
      <c r="E8" s="37" t="s">
        <v>1437</v>
      </c>
      <c r="F8" s="37" t="s">
        <v>1534</v>
      </c>
      <c r="G8" s="975"/>
      <c r="H8" s="975"/>
      <c r="I8" s="975"/>
      <c r="J8" s="975"/>
    </row>
    <row r="9" spans="1:10">
      <c r="A9" s="239">
        <v>1</v>
      </c>
      <c r="B9" s="239">
        <v>2</v>
      </c>
      <c r="C9" s="239">
        <v>3</v>
      </c>
      <c r="D9" s="239">
        <v>4</v>
      </c>
      <c r="E9" s="239">
        <v>5</v>
      </c>
      <c r="F9" s="239">
        <v>6</v>
      </c>
      <c r="G9" s="239">
        <v>7</v>
      </c>
      <c r="H9" s="239">
        <v>8</v>
      </c>
      <c r="I9" s="239">
        <v>9</v>
      </c>
      <c r="J9" s="239">
        <v>10</v>
      </c>
    </row>
    <row r="10" spans="1:10" ht="42.75">
      <c r="A10" s="318">
        <v>1</v>
      </c>
      <c r="B10" s="318" t="s">
        <v>167</v>
      </c>
      <c r="C10" s="293">
        <f>C11+C13+C15+C17+C18</f>
        <v>5900.3153999999995</v>
      </c>
      <c r="D10" s="294">
        <f>C10/C47</f>
        <v>0.56133751549922251</v>
      </c>
      <c r="E10" s="293">
        <f>E11+E13+E15+E17+E18</f>
        <v>160.31540000000001</v>
      </c>
      <c r="F10" s="294">
        <f>E10/E47</f>
        <v>5.7851110237674142E-2</v>
      </c>
      <c r="G10" s="293">
        <f>G11+G13+G15+G17+G18</f>
        <v>1720</v>
      </c>
      <c r="H10" s="293">
        <f>H11+H13+H15+H17+H18</f>
        <v>1420</v>
      </c>
      <c r="I10" s="293">
        <f>I11+I13+I15+I17+I18</f>
        <v>1300</v>
      </c>
      <c r="J10" s="293">
        <f>J11+J13+J15+J17+J18</f>
        <v>1300</v>
      </c>
    </row>
    <row r="11" spans="1:10">
      <c r="A11" s="300" t="s">
        <v>1693</v>
      </c>
      <c r="B11" s="665" t="s">
        <v>168</v>
      </c>
      <c r="C11" s="301">
        <f>C12</f>
        <v>2800.3154</v>
      </c>
      <c r="D11" s="302">
        <f>C11/C10</f>
        <v>0.4746043575907824</v>
      </c>
      <c r="E11" s="303">
        <f>E12</f>
        <v>160.31540000000001</v>
      </c>
      <c r="F11" s="302">
        <f>E11/E10</f>
        <v>1</v>
      </c>
      <c r="G11" s="303">
        <f>G12</f>
        <v>720</v>
      </c>
      <c r="H11" s="303">
        <f>H12</f>
        <v>720</v>
      </c>
      <c r="I11" s="303">
        <f>I12</f>
        <v>600</v>
      </c>
      <c r="J11" s="303">
        <f>J12</f>
        <v>600</v>
      </c>
    </row>
    <row r="12" spans="1:10">
      <c r="A12" s="315" t="s">
        <v>1696</v>
      </c>
      <c r="B12" s="326" t="s">
        <v>265</v>
      </c>
      <c r="C12" s="84">
        <f>E12+G12+H12+I12+J12</f>
        <v>2800.3154</v>
      </c>
      <c r="D12" s="60">
        <f>C12/C11</f>
        <v>1</v>
      </c>
      <c r="E12" s="128">
        <f>'6. Проведення закупівлі'!F47</f>
        <v>160.31540000000001</v>
      </c>
      <c r="F12" s="60">
        <f>E12/E11</f>
        <v>1</v>
      </c>
      <c r="G12" s="128">
        <v>720</v>
      </c>
      <c r="H12" s="128">
        <v>720</v>
      </c>
      <c r="I12" s="128">
        <v>600</v>
      </c>
      <c r="J12" s="128">
        <v>600</v>
      </c>
    </row>
    <row r="13" spans="1:10">
      <c r="A13" s="300" t="s">
        <v>1694</v>
      </c>
      <c r="B13" s="665" t="s">
        <v>169</v>
      </c>
      <c r="C13" s="303">
        <f>C14</f>
        <v>1400</v>
      </c>
      <c r="D13" s="302">
        <f>C13/C10</f>
        <v>0.23727545141061443</v>
      </c>
      <c r="E13" s="303">
        <f>E14</f>
        <v>0</v>
      </c>
      <c r="F13" s="302">
        <f>E13/E10</f>
        <v>0</v>
      </c>
      <c r="G13" s="303">
        <f>G14</f>
        <v>500</v>
      </c>
      <c r="H13" s="303">
        <f>H14</f>
        <v>300</v>
      </c>
      <c r="I13" s="303">
        <f>I14</f>
        <v>300</v>
      </c>
      <c r="J13" s="303">
        <f>J14</f>
        <v>300</v>
      </c>
    </row>
    <row r="14" spans="1:10">
      <c r="A14" s="314" t="s">
        <v>1697</v>
      </c>
      <c r="B14" s="326" t="s">
        <v>266</v>
      </c>
      <c r="C14" s="84">
        <f>E14+G14+H14+I14+J14</f>
        <v>1400</v>
      </c>
      <c r="D14" s="313">
        <f>C14/C13</f>
        <v>1</v>
      </c>
      <c r="E14" s="329">
        <v>0</v>
      </c>
      <c r="F14" s="313" t="e">
        <f>E14/E13</f>
        <v>#DIV/0!</v>
      </c>
      <c r="G14" s="319">
        <v>500</v>
      </c>
      <c r="H14" s="319">
        <v>300</v>
      </c>
      <c r="I14" s="319">
        <v>300</v>
      </c>
      <c r="J14" s="319">
        <v>300</v>
      </c>
    </row>
    <row r="15" spans="1:10" ht="27">
      <c r="A15" s="300" t="s">
        <v>1759</v>
      </c>
      <c r="B15" s="665" t="s">
        <v>170</v>
      </c>
      <c r="C15" s="303">
        <f>C16</f>
        <v>800</v>
      </c>
      <c r="D15" s="302">
        <f>C15/C10</f>
        <v>0.13558597223463684</v>
      </c>
      <c r="E15" s="303">
        <f>E16</f>
        <v>0</v>
      </c>
      <c r="F15" s="302">
        <f>E15/E10</f>
        <v>0</v>
      </c>
      <c r="G15" s="303">
        <f>G16</f>
        <v>200</v>
      </c>
      <c r="H15" s="303">
        <f>H16</f>
        <v>200</v>
      </c>
      <c r="I15" s="303">
        <f>I16</f>
        <v>200</v>
      </c>
      <c r="J15" s="303">
        <f>J16</f>
        <v>200</v>
      </c>
    </row>
    <row r="16" spans="1:10" ht="30">
      <c r="A16" s="315" t="s">
        <v>1454</v>
      </c>
      <c r="B16" s="326" t="s">
        <v>267</v>
      </c>
      <c r="C16" s="84">
        <f>E16+G16+H16+I16+J16</f>
        <v>800</v>
      </c>
      <c r="D16" s="60">
        <f>C16/C15</f>
        <v>1</v>
      </c>
      <c r="E16" s="128">
        <v>0</v>
      </c>
      <c r="F16" s="60" t="e">
        <f>E16/E15</f>
        <v>#DIV/0!</v>
      </c>
      <c r="G16" s="128">
        <v>200</v>
      </c>
      <c r="H16" s="128">
        <v>200</v>
      </c>
      <c r="I16" s="128">
        <v>200</v>
      </c>
      <c r="J16" s="128">
        <v>200</v>
      </c>
    </row>
    <row r="17" spans="1:10" ht="27">
      <c r="A17" s="300" t="s">
        <v>1760</v>
      </c>
      <c r="B17" s="665" t="s">
        <v>171</v>
      </c>
      <c r="C17" s="301">
        <v>0</v>
      </c>
      <c r="D17" s="302">
        <f>C17/C10</f>
        <v>0</v>
      </c>
      <c r="E17" s="303">
        <v>0</v>
      </c>
      <c r="F17" s="302">
        <f>E17/E10</f>
        <v>0</v>
      </c>
      <c r="G17" s="303">
        <v>0</v>
      </c>
      <c r="H17" s="303">
        <v>0</v>
      </c>
      <c r="I17" s="303">
        <v>0</v>
      </c>
      <c r="J17" s="303">
        <v>0</v>
      </c>
    </row>
    <row r="18" spans="1:10" ht="15.75" customHeight="1">
      <c r="A18" s="300" t="s">
        <v>1761</v>
      </c>
      <c r="B18" s="665" t="s">
        <v>1494</v>
      </c>
      <c r="C18" s="301">
        <f>C19+C20</f>
        <v>900</v>
      </c>
      <c r="D18" s="302">
        <f>C18/C10</f>
        <v>0.15253421876396642</v>
      </c>
      <c r="E18" s="301">
        <f>E19+E20</f>
        <v>0</v>
      </c>
      <c r="F18" s="302">
        <f>E18/E10</f>
        <v>0</v>
      </c>
      <c r="G18" s="301">
        <f>G19+G20</f>
        <v>300</v>
      </c>
      <c r="H18" s="301">
        <f>H19+H20</f>
        <v>200</v>
      </c>
      <c r="I18" s="301">
        <f>I19+I20</f>
        <v>200</v>
      </c>
      <c r="J18" s="301">
        <f>J19+J20</f>
        <v>200</v>
      </c>
    </row>
    <row r="19" spans="1:10" ht="15.75" customHeight="1">
      <c r="A19" s="315" t="s">
        <v>1460</v>
      </c>
      <c r="B19" s="326" t="s">
        <v>268</v>
      </c>
      <c r="C19" s="84">
        <f>E19+G19+H19+I19+J19</f>
        <v>600</v>
      </c>
      <c r="D19" s="60">
        <f>C19/C18</f>
        <v>0.66666666666666663</v>
      </c>
      <c r="E19" s="128">
        <v>0</v>
      </c>
      <c r="F19" s="60" t="e">
        <f>E19/E18</f>
        <v>#DIV/0!</v>
      </c>
      <c r="G19" s="128">
        <v>0</v>
      </c>
      <c r="H19" s="128">
        <v>200</v>
      </c>
      <c r="I19" s="128">
        <v>200</v>
      </c>
      <c r="J19" s="128">
        <v>200</v>
      </c>
    </row>
    <row r="20" spans="1:10" ht="28.5" customHeight="1">
      <c r="A20" s="315" t="s">
        <v>1461</v>
      </c>
      <c r="B20" s="326" t="s">
        <v>269</v>
      </c>
      <c r="C20" s="84">
        <f>E20+G20+H20+I20+J20</f>
        <v>300</v>
      </c>
      <c r="D20" s="60">
        <f>C20/C18</f>
        <v>0.33333333333333331</v>
      </c>
      <c r="E20" s="128">
        <v>0</v>
      </c>
      <c r="F20" s="60" t="e">
        <f>E20/E18</f>
        <v>#DIV/0!</v>
      </c>
      <c r="G20" s="128">
        <v>300</v>
      </c>
      <c r="H20" s="128">
        <v>0</v>
      </c>
      <c r="I20" s="128">
        <v>0</v>
      </c>
      <c r="J20" s="128">
        <v>0</v>
      </c>
    </row>
    <row r="21" spans="1:10" ht="28.5">
      <c r="A21" s="297" t="s">
        <v>1739</v>
      </c>
      <c r="B21" s="318" t="s">
        <v>172</v>
      </c>
      <c r="C21" s="293">
        <f>C22+C24+C26</f>
        <v>550</v>
      </c>
      <c r="D21" s="294">
        <f>C21/C47</f>
        <v>5.2325276293632102E-2</v>
      </c>
      <c r="E21" s="293">
        <f>E22+E24+E26</f>
        <v>0</v>
      </c>
      <c r="F21" s="294">
        <f>E21/E47</f>
        <v>0</v>
      </c>
      <c r="G21" s="293">
        <f>G22+G24+G26</f>
        <v>250</v>
      </c>
      <c r="H21" s="293">
        <f>H22+H24+H26</f>
        <v>300</v>
      </c>
      <c r="I21" s="293">
        <f>I22+I24+I26</f>
        <v>0</v>
      </c>
      <c r="J21" s="293">
        <f>J22+J24+J26</f>
        <v>0</v>
      </c>
    </row>
    <row r="22" spans="1:10">
      <c r="A22" s="297" t="s">
        <v>1698</v>
      </c>
      <c r="B22" s="665" t="s">
        <v>1490</v>
      </c>
      <c r="C22" s="293">
        <f>C23</f>
        <v>0</v>
      </c>
      <c r="D22" s="294">
        <f>C22/C21</f>
        <v>0</v>
      </c>
      <c r="E22" s="293">
        <f>E23</f>
        <v>0</v>
      </c>
      <c r="F22" s="294" t="e">
        <f>E22/E21</f>
        <v>#DIV/0!</v>
      </c>
      <c r="G22" s="293">
        <f>G23</f>
        <v>0</v>
      </c>
      <c r="H22" s="293">
        <f>H23</f>
        <v>0</v>
      </c>
      <c r="I22" s="293">
        <f>I23</f>
        <v>0</v>
      </c>
      <c r="J22" s="293">
        <f>J23</f>
        <v>0</v>
      </c>
    </row>
    <row r="23" spans="1:10" ht="31.5">
      <c r="A23" s="315" t="s">
        <v>1699</v>
      </c>
      <c r="B23" s="667" t="s">
        <v>270</v>
      </c>
      <c r="C23" s="84">
        <f>E23+G23+H23+I23+J23</f>
        <v>0</v>
      </c>
      <c r="D23" s="60" t="e">
        <f>C23/C22</f>
        <v>#DIV/0!</v>
      </c>
      <c r="E23" s="299"/>
      <c r="F23" s="60" t="e">
        <f>E23/E22</f>
        <v>#DIV/0!</v>
      </c>
      <c r="G23" s="128">
        <v>0</v>
      </c>
      <c r="H23" s="128">
        <v>0</v>
      </c>
      <c r="I23" s="128">
        <v>0</v>
      </c>
      <c r="J23" s="128">
        <v>0</v>
      </c>
    </row>
    <row r="24" spans="1:10">
      <c r="A24" s="297" t="s">
        <v>1700</v>
      </c>
      <c r="B24" s="665" t="s">
        <v>1489</v>
      </c>
      <c r="C24" s="293">
        <f>C25</f>
        <v>550</v>
      </c>
      <c r="D24" s="298">
        <f>C24/C21</f>
        <v>1</v>
      </c>
      <c r="E24" s="293">
        <f>E25</f>
        <v>0</v>
      </c>
      <c r="F24" s="298" t="e">
        <f>E24/E21</f>
        <v>#DIV/0!</v>
      </c>
      <c r="G24" s="293">
        <f>G25</f>
        <v>250</v>
      </c>
      <c r="H24" s="293">
        <f>H25</f>
        <v>300</v>
      </c>
      <c r="I24" s="293">
        <f>I25</f>
        <v>0</v>
      </c>
      <c r="J24" s="293">
        <f>J25</f>
        <v>0</v>
      </c>
    </row>
    <row r="25" spans="1:10">
      <c r="A25" s="315" t="s">
        <v>283</v>
      </c>
      <c r="B25" s="326" t="s">
        <v>271</v>
      </c>
      <c r="C25" s="84">
        <f>E25+G25+H25+I25+J25</f>
        <v>550</v>
      </c>
      <c r="D25" s="60">
        <f>C25/C24</f>
        <v>1</v>
      </c>
      <c r="E25" s="128">
        <v>0</v>
      </c>
      <c r="F25" s="60" t="e">
        <f>E25/E24</f>
        <v>#DIV/0!</v>
      </c>
      <c r="G25" s="128">
        <v>250</v>
      </c>
      <c r="H25" s="128">
        <v>300</v>
      </c>
      <c r="I25" s="128">
        <v>0</v>
      </c>
      <c r="J25" s="128">
        <v>0</v>
      </c>
    </row>
    <row r="26" spans="1:10">
      <c r="A26" s="292" t="s">
        <v>1487</v>
      </c>
      <c r="B26" s="665" t="s">
        <v>1491</v>
      </c>
      <c r="C26" s="307">
        <v>0</v>
      </c>
      <c r="D26" s="308"/>
      <c r="E26" s="309">
        <v>0</v>
      </c>
      <c r="F26" s="308"/>
      <c r="G26" s="309">
        <v>0</v>
      </c>
      <c r="H26" s="309">
        <v>0</v>
      </c>
      <c r="I26" s="309">
        <v>0</v>
      </c>
      <c r="J26" s="309">
        <v>0</v>
      </c>
    </row>
    <row r="27" spans="1:10" ht="42.75">
      <c r="A27" s="297" t="s">
        <v>1740</v>
      </c>
      <c r="B27" s="318" t="s">
        <v>173</v>
      </c>
      <c r="C27" s="293">
        <f>C28+C33+C34+C35+C37+C38+C40+C42</f>
        <v>1735.357</v>
      </c>
      <c r="D27" s="294">
        <f>C27/C47</f>
        <v>0.16509642635107002</v>
      </c>
      <c r="E27" s="293">
        <f>+E28+E33+E34+E35+E37+E38+E40+E42</f>
        <v>285.35700000000003</v>
      </c>
      <c r="F27" s="294">
        <f>E27/E47</f>
        <v>0.10297338411713397</v>
      </c>
      <c r="G27" s="293">
        <f>+G28+G33+G34+G35+G37+G38+G40+G42</f>
        <v>1100</v>
      </c>
      <c r="H27" s="293">
        <f>+H28+H33+H34+H35+H37+H38+H40+H42</f>
        <v>350</v>
      </c>
      <c r="I27" s="293">
        <f>+I28+I33+I34+I35+I37+I38+I40+I42</f>
        <v>0</v>
      </c>
      <c r="J27" s="293">
        <f>+J28+J33+J34+J35+J37+J38+J40+J42</f>
        <v>0</v>
      </c>
    </row>
    <row r="28" spans="1:10">
      <c r="A28" s="300" t="s">
        <v>1702</v>
      </c>
      <c r="B28" s="325" t="s">
        <v>174</v>
      </c>
      <c r="C28" s="307">
        <f>C29+C30+C31+C32</f>
        <v>657.40700000000004</v>
      </c>
      <c r="D28" s="308">
        <f>C28/C27</f>
        <v>0.37883098405688287</v>
      </c>
      <c r="E28" s="307">
        <f>E29+E30+E31+E32</f>
        <v>207.40700000000001</v>
      </c>
      <c r="F28" s="302">
        <f>E28/E27</f>
        <v>0.72683340517316897</v>
      </c>
      <c r="G28" s="307">
        <f>G29+G30+G31</f>
        <v>100</v>
      </c>
      <c r="H28" s="307">
        <f>H29+H30+H31</f>
        <v>350</v>
      </c>
      <c r="I28" s="307">
        <f>I29+I30+I31</f>
        <v>0</v>
      </c>
      <c r="J28" s="307">
        <f>J29+J30+J31</f>
        <v>0</v>
      </c>
    </row>
    <row r="29" spans="1:10">
      <c r="A29" s="315" t="s">
        <v>1703</v>
      </c>
      <c r="B29" s="326" t="s">
        <v>272</v>
      </c>
      <c r="C29" s="84">
        <f>E29+G29+H29+I29+J29</f>
        <v>100</v>
      </c>
      <c r="D29" s="327">
        <f>C29/C28</f>
        <v>0.15211277032340695</v>
      </c>
      <c r="E29" s="312">
        <v>0</v>
      </c>
      <c r="F29" s="331">
        <f>E29/E28</f>
        <v>0</v>
      </c>
      <c r="G29" s="312">
        <v>100</v>
      </c>
      <c r="H29" s="312">
        <v>0</v>
      </c>
      <c r="I29" s="312">
        <v>0</v>
      </c>
      <c r="J29" s="84">
        <v>0</v>
      </c>
    </row>
    <row r="30" spans="1:10" ht="30">
      <c r="A30" s="315" t="s">
        <v>275</v>
      </c>
      <c r="B30" s="326" t="s">
        <v>273</v>
      </c>
      <c r="C30" s="84">
        <f>E30+G30+H30+I30+J30</f>
        <v>200</v>
      </c>
      <c r="D30" s="327">
        <f>C30/C28</f>
        <v>0.3042255406468139</v>
      </c>
      <c r="E30" s="312">
        <v>0</v>
      </c>
      <c r="F30" s="331" t="e">
        <f>E30/E29</f>
        <v>#DIV/0!</v>
      </c>
      <c r="G30" s="312">
        <v>0</v>
      </c>
      <c r="H30" s="312">
        <v>200</v>
      </c>
      <c r="I30" s="312">
        <v>0</v>
      </c>
      <c r="J30" s="84">
        <v>0</v>
      </c>
    </row>
    <row r="31" spans="1:10" ht="30">
      <c r="A31" s="315" t="s">
        <v>276</v>
      </c>
      <c r="B31" s="326" t="s">
        <v>274</v>
      </c>
      <c r="C31" s="84">
        <f>E31+G31+H31+I31+J31</f>
        <v>150</v>
      </c>
      <c r="D31" s="327">
        <f>C31/C28</f>
        <v>0.22816915548511044</v>
      </c>
      <c r="E31" s="312">
        <v>0</v>
      </c>
      <c r="F31" s="331" t="e">
        <f>E31/E30</f>
        <v>#DIV/0!</v>
      </c>
      <c r="G31" s="312">
        <v>0</v>
      </c>
      <c r="H31" s="312">
        <v>150</v>
      </c>
      <c r="I31" s="312">
        <v>0</v>
      </c>
      <c r="J31" s="84">
        <v>0</v>
      </c>
    </row>
    <row r="32" spans="1:10" ht="30">
      <c r="A32" s="315" t="s">
        <v>316</v>
      </c>
      <c r="B32" s="670" t="s">
        <v>315</v>
      </c>
      <c r="C32" s="84">
        <f>E32+G32+H32+I32+J32</f>
        <v>207.40700000000001</v>
      </c>
      <c r="D32" s="327">
        <f>C32/C28</f>
        <v>0.31549253354466866</v>
      </c>
      <c r="E32" s="312">
        <v>207.40700000000001</v>
      </c>
      <c r="F32" s="331" t="e">
        <f>E32/E31</f>
        <v>#DIV/0!</v>
      </c>
      <c r="G32" s="312">
        <v>0</v>
      </c>
      <c r="H32" s="312">
        <v>0</v>
      </c>
      <c r="I32" s="312">
        <v>0</v>
      </c>
      <c r="J32" s="312">
        <v>0</v>
      </c>
    </row>
    <row r="33" spans="1:10">
      <c r="A33" s="300" t="s">
        <v>1704</v>
      </c>
      <c r="B33" s="665" t="s">
        <v>175</v>
      </c>
      <c r="C33" s="307">
        <v>0</v>
      </c>
      <c r="D33" s="308">
        <f>C33/C27</f>
        <v>0</v>
      </c>
      <c r="E33" s="307">
        <v>0</v>
      </c>
      <c r="F33" s="308"/>
      <c r="G33" s="307">
        <v>0</v>
      </c>
      <c r="H33" s="307">
        <v>0</v>
      </c>
      <c r="I33" s="307">
        <v>0</v>
      </c>
      <c r="J33" s="307">
        <v>0</v>
      </c>
    </row>
    <row r="34" spans="1:10">
      <c r="A34" s="300" t="s">
        <v>1492</v>
      </c>
      <c r="B34" s="665" t="s">
        <v>176</v>
      </c>
      <c r="C34" s="307">
        <v>0</v>
      </c>
      <c r="D34" s="308">
        <f>C34/C28</f>
        <v>0</v>
      </c>
      <c r="E34" s="307">
        <v>0</v>
      </c>
      <c r="F34" s="308"/>
      <c r="G34" s="307">
        <v>0</v>
      </c>
      <c r="H34" s="307">
        <v>0</v>
      </c>
      <c r="I34" s="307">
        <v>0</v>
      </c>
      <c r="J34" s="307">
        <v>0</v>
      </c>
    </row>
    <row r="35" spans="1:10">
      <c r="A35" s="300" t="s">
        <v>178</v>
      </c>
      <c r="B35" s="665" t="s">
        <v>177</v>
      </c>
      <c r="C35" s="307">
        <f>C36</f>
        <v>77.95</v>
      </c>
      <c r="D35" s="308">
        <f>C35/C27</f>
        <v>4.491871125076858E-2</v>
      </c>
      <c r="E35" s="307">
        <f>E36</f>
        <v>77.95</v>
      </c>
      <c r="F35" s="308"/>
      <c r="G35" s="307">
        <v>0</v>
      </c>
      <c r="H35" s="307">
        <v>0</v>
      </c>
      <c r="I35" s="307">
        <v>0</v>
      </c>
      <c r="J35" s="307">
        <v>0</v>
      </c>
    </row>
    <row r="36" spans="1:10">
      <c r="A36" s="314" t="s">
        <v>576</v>
      </c>
      <c r="B36" s="342" t="s">
        <v>577</v>
      </c>
      <c r="C36" s="84">
        <f>E36+G36+H36+I36+J36</f>
        <v>77.95</v>
      </c>
      <c r="D36" s="343"/>
      <c r="E36" s="311">
        <f>'6. Проведення закупівлі'!F49</f>
        <v>77.95</v>
      </c>
      <c r="F36" s="343"/>
      <c r="G36" s="311"/>
      <c r="H36" s="311"/>
      <c r="I36" s="311"/>
      <c r="J36" s="311"/>
    </row>
    <row r="37" spans="1:10">
      <c r="A37" s="300" t="s">
        <v>179</v>
      </c>
      <c r="B37" s="665" t="s">
        <v>1598</v>
      </c>
      <c r="C37" s="307">
        <v>0</v>
      </c>
      <c r="D37" s="308">
        <f>C37/C27</f>
        <v>0</v>
      </c>
      <c r="E37" s="307">
        <v>0</v>
      </c>
      <c r="F37" s="308"/>
      <c r="G37" s="307">
        <v>0</v>
      </c>
      <c r="H37" s="307">
        <v>0</v>
      </c>
      <c r="I37" s="307">
        <v>0</v>
      </c>
      <c r="J37" s="307">
        <v>0</v>
      </c>
    </row>
    <row r="38" spans="1:10" ht="27">
      <c r="A38" s="300" t="s">
        <v>180</v>
      </c>
      <c r="B38" s="665" t="s">
        <v>185</v>
      </c>
      <c r="C38" s="301">
        <f>C39</f>
        <v>300</v>
      </c>
      <c r="D38" s="302">
        <f>C38/C27</f>
        <v>0.17287509140770457</v>
      </c>
      <c r="E38" s="303">
        <f>E39</f>
        <v>0</v>
      </c>
      <c r="F38" s="302"/>
      <c r="G38" s="303">
        <f>G39</f>
        <v>300</v>
      </c>
      <c r="H38" s="303">
        <f>H39</f>
        <v>0</v>
      </c>
      <c r="I38" s="303">
        <f>I39</f>
        <v>0</v>
      </c>
      <c r="J38" s="303">
        <f>J39</f>
        <v>0</v>
      </c>
    </row>
    <row r="39" spans="1:10">
      <c r="A39" s="316" t="s">
        <v>277</v>
      </c>
      <c r="B39" s="326" t="s">
        <v>278</v>
      </c>
      <c r="C39" s="84">
        <f>E39+G39+H39+I39+J39</f>
        <v>300</v>
      </c>
      <c r="D39" s="306">
        <f>C39/C38</f>
        <v>1</v>
      </c>
      <c r="E39" s="299">
        <v>0</v>
      </c>
      <c r="F39" s="330" t="e">
        <f>E39/E38</f>
        <v>#DIV/0!</v>
      </c>
      <c r="G39" s="299">
        <v>300</v>
      </c>
      <c r="H39" s="128">
        <v>0</v>
      </c>
      <c r="I39" s="128">
        <v>0</v>
      </c>
      <c r="J39" s="128">
        <v>0</v>
      </c>
    </row>
    <row r="40" spans="1:10" ht="27">
      <c r="A40" s="300" t="s">
        <v>182</v>
      </c>
      <c r="B40" s="665" t="s">
        <v>184</v>
      </c>
      <c r="C40" s="301">
        <f>C41</f>
        <v>300</v>
      </c>
      <c r="D40" s="302">
        <f>C40/C27</f>
        <v>0.17287509140770457</v>
      </c>
      <c r="E40" s="301">
        <f>E41</f>
        <v>0</v>
      </c>
      <c r="F40" s="302"/>
      <c r="G40" s="301">
        <f>G41</f>
        <v>300</v>
      </c>
      <c r="H40" s="301">
        <f>H41</f>
        <v>0</v>
      </c>
      <c r="I40" s="301">
        <f>I41</f>
        <v>0</v>
      </c>
      <c r="J40" s="301">
        <f>J41</f>
        <v>0</v>
      </c>
    </row>
    <row r="41" spans="1:10" ht="30">
      <c r="A41" s="316" t="s">
        <v>279</v>
      </c>
      <c r="B41" s="326" t="s">
        <v>280</v>
      </c>
      <c r="C41" s="84">
        <f>E41+G41+H41+I41+J41</f>
        <v>300</v>
      </c>
      <c r="D41" s="306">
        <f>C41/C40</f>
        <v>1</v>
      </c>
      <c r="E41" s="299">
        <v>0</v>
      </c>
      <c r="F41" s="330" t="e">
        <f>E41/E40</f>
        <v>#DIV/0!</v>
      </c>
      <c r="G41" s="299">
        <v>300</v>
      </c>
      <c r="H41" s="128">
        <v>0</v>
      </c>
      <c r="I41" s="128">
        <v>0</v>
      </c>
      <c r="J41" s="128">
        <v>0</v>
      </c>
    </row>
    <row r="42" spans="1:10">
      <c r="A42" s="300" t="s">
        <v>183</v>
      </c>
      <c r="B42" s="665" t="s">
        <v>1491</v>
      </c>
      <c r="C42" s="301">
        <f>C43</f>
        <v>400</v>
      </c>
      <c r="D42" s="302">
        <f>C42/C27</f>
        <v>0.23050012187693944</v>
      </c>
      <c r="E42" s="301">
        <f>E43</f>
        <v>0</v>
      </c>
      <c r="F42" s="302"/>
      <c r="G42" s="301">
        <f>G43</f>
        <v>400</v>
      </c>
      <c r="H42" s="301">
        <f>H43</f>
        <v>0</v>
      </c>
      <c r="I42" s="301">
        <f>I43</f>
        <v>0</v>
      </c>
      <c r="J42" s="301">
        <f>J43</f>
        <v>0</v>
      </c>
    </row>
    <row r="43" spans="1:10">
      <c r="A43" s="315" t="s">
        <v>282</v>
      </c>
      <c r="B43" s="326" t="s">
        <v>281</v>
      </c>
      <c r="C43" s="84">
        <f>E43+G43+H43+I43+J43</f>
        <v>400</v>
      </c>
      <c r="D43" s="306">
        <f>C43/C42</f>
        <v>1</v>
      </c>
      <c r="E43" s="299">
        <v>0</v>
      </c>
      <c r="F43" s="330" t="e">
        <f>E43/E42</f>
        <v>#DIV/0!</v>
      </c>
      <c r="G43" s="299">
        <v>400</v>
      </c>
      <c r="H43" s="128">
        <v>0</v>
      </c>
      <c r="I43" s="128">
        <v>0</v>
      </c>
      <c r="J43" s="128">
        <v>0</v>
      </c>
    </row>
    <row r="44" spans="1:10" ht="28.5">
      <c r="A44" s="328">
        <v>4</v>
      </c>
      <c r="B44" s="43" t="s">
        <v>181</v>
      </c>
      <c r="C44" s="293">
        <f>E44+G44+H44+I44+J44</f>
        <v>2325.5</v>
      </c>
      <c r="D44" s="399">
        <f>C44/C47</f>
        <v>0.22124078185607537</v>
      </c>
      <c r="E44" s="293">
        <f>E45</f>
        <v>2325.5</v>
      </c>
      <c r="F44" s="330" t="e">
        <f>E44/E43</f>
        <v>#DIV/0!</v>
      </c>
      <c r="G44" s="293">
        <v>0</v>
      </c>
      <c r="H44" s="293">
        <v>0</v>
      </c>
      <c r="I44" s="293">
        <v>0</v>
      </c>
      <c r="J44" s="293">
        <v>0</v>
      </c>
    </row>
    <row r="45" spans="1:10">
      <c r="A45" s="328" t="s">
        <v>1706</v>
      </c>
      <c r="B45" s="661" t="s">
        <v>290</v>
      </c>
      <c r="C45" s="84">
        <f>E45+G45+H45+I45+J45</f>
        <v>2325.5</v>
      </c>
      <c r="D45" s="306">
        <f>C45/C44</f>
        <v>1</v>
      </c>
      <c r="E45" s="207">
        <f>'6. Проведення закупівлі'!F50</f>
        <v>2325.5</v>
      </c>
      <c r="F45" s="330">
        <f>E45/E44</f>
        <v>1</v>
      </c>
      <c r="G45" s="293">
        <v>0</v>
      </c>
      <c r="H45" s="293">
        <v>0</v>
      </c>
      <c r="I45" s="293">
        <v>0</v>
      </c>
      <c r="J45" s="293">
        <v>0</v>
      </c>
    </row>
    <row r="46" spans="1:10">
      <c r="A46" s="297" t="s">
        <v>1488</v>
      </c>
      <c r="B46" s="43" t="s">
        <v>1536</v>
      </c>
      <c r="C46" s="293">
        <v>0</v>
      </c>
      <c r="D46" s="294"/>
      <c r="E46" s="293">
        <v>0</v>
      </c>
      <c r="F46" s="294"/>
      <c r="G46" s="293">
        <v>0</v>
      </c>
      <c r="H46" s="293">
        <v>0</v>
      </c>
      <c r="I46" s="293">
        <v>0</v>
      </c>
      <c r="J46" s="293">
        <v>0</v>
      </c>
    </row>
    <row r="47" spans="1:10">
      <c r="A47" s="1302" t="s">
        <v>14</v>
      </c>
      <c r="B47" s="1302"/>
      <c r="C47" s="259">
        <f>C10+C21+C27+C44</f>
        <v>10511.172399999999</v>
      </c>
      <c r="D47" s="254"/>
      <c r="E47" s="259">
        <f>E10+E21+E27+E44</f>
        <v>2771.1723999999999</v>
      </c>
      <c r="F47" s="254"/>
      <c r="G47" s="259">
        <f>G10+G21+G27</f>
        <v>3070</v>
      </c>
      <c r="H47" s="259">
        <f>H10+H21+H27</f>
        <v>2070</v>
      </c>
      <c r="I47" s="259">
        <f>I10+I21+I27</f>
        <v>1300</v>
      </c>
      <c r="J47" s="259">
        <f>J10+J21+J27</f>
        <v>1300</v>
      </c>
    </row>
  </sheetData>
  <mergeCells count="15">
    <mergeCell ref="A47:B47"/>
    <mergeCell ref="E5:J5"/>
    <mergeCell ref="E6:F6"/>
    <mergeCell ref="E7:F7"/>
    <mergeCell ref="J7:J8"/>
    <mergeCell ref="I7:I8"/>
    <mergeCell ref="H2:J2"/>
    <mergeCell ref="A4:J4"/>
    <mergeCell ref="H7:H8"/>
    <mergeCell ref="G7:G8"/>
    <mergeCell ref="A5:A8"/>
    <mergeCell ref="B5:B8"/>
    <mergeCell ref="C7:C8"/>
    <mergeCell ref="D7:D8"/>
    <mergeCell ref="C5:D6"/>
  </mergeCells>
  <phoneticPr fontId="2" type="noConversion"/>
  <pageMargins left="1.3385826771653544" right="0.39370078740157483" top="0.55118110236220474" bottom="0.47244094488188981" header="0.43307086614173229" footer="0.31496062992125984"/>
  <pageSetup paperSize="9" scale="90" orientation="landscape" r:id="rId1"/>
  <headerFooter alignWithMargins="0"/>
  <rowBreaks count="1" manualBreakCount="1">
    <brk id="26" max="9" man="1"/>
  </rowBreaks>
  <colBreaks count="1" manualBreakCount="1">
    <brk id="10" max="31" man="1"/>
  </colBreaks>
</worksheet>
</file>

<file path=xl/worksheets/sheet28.xml><?xml version="1.0" encoding="utf-8"?>
<worksheet xmlns="http://schemas.openxmlformats.org/spreadsheetml/2006/main" xmlns:r="http://schemas.openxmlformats.org/officeDocument/2006/relationships">
  <sheetPr codeName="Лист28">
    <tabColor rgb="FF00B0F0"/>
  </sheetPr>
  <dimension ref="A1:L25"/>
  <sheetViews>
    <sheetView view="pageBreakPreview" topLeftCell="A16" zoomScale="85" zoomScaleNormal="70" zoomScaleSheetLayoutView="85" zoomScalePageLayoutView="85" workbookViewId="0">
      <selection activeCell="F22" sqref="F22"/>
    </sheetView>
  </sheetViews>
  <sheetFormatPr defaultRowHeight="15"/>
  <cols>
    <col min="1" max="1" width="7.28515625" style="82" customWidth="1"/>
    <col min="2" max="2" width="8.5703125" style="82" customWidth="1"/>
    <col min="3" max="3" width="19.85546875" style="82" customWidth="1"/>
    <col min="4" max="4" width="14.140625" style="82" customWidth="1"/>
    <col min="5" max="5" width="10.42578125" style="82" customWidth="1"/>
    <col min="6" max="6" width="13" style="82" customWidth="1"/>
    <col min="7" max="7" width="9.85546875" style="82" customWidth="1"/>
    <col min="8" max="8" width="17.28515625" style="82" customWidth="1"/>
    <col min="9" max="9" width="11.5703125" style="82" customWidth="1"/>
    <col min="10" max="10" width="11.140625" style="82" customWidth="1"/>
    <col min="11" max="11" width="11.42578125" style="82" customWidth="1"/>
    <col min="12" max="12" width="12.140625" style="82" customWidth="1"/>
    <col min="13" max="16384" width="9.140625" style="82"/>
  </cols>
  <sheetData>
    <row r="1" spans="1:12" ht="21" customHeight="1">
      <c r="A1" s="985" t="s">
        <v>162</v>
      </c>
      <c r="B1" s="985"/>
      <c r="C1" s="985"/>
      <c r="D1" s="985"/>
      <c r="E1" s="985"/>
      <c r="F1" s="985"/>
      <c r="G1" s="985"/>
      <c r="H1" s="985"/>
      <c r="I1" s="985"/>
      <c r="J1" s="985"/>
      <c r="K1" s="985"/>
      <c r="L1" s="985"/>
    </row>
    <row r="2" spans="1:12" s="85" customFormat="1" ht="15.75" customHeight="1">
      <c r="A2" s="975" t="s">
        <v>1531</v>
      </c>
      <c r="B2" s="975" t="s">
        <v>1538</v>
      </c>
      <c r="C2" s="975"/>
      <c r="D2" s="989" t="s">
        <v>333</v>
      </c>
      <c r="E2" s="989"/>
      <c r="F2" s="975" t="s">
        <v>1432</v>
      </c>
      <c r="G2" s="975"/>
      <c r="H2" s="975"/>
      <c r="I2" s="975"/>
      <c r="J2" s="975"/>
      <c r="K2" s="975"/>
      <c r="L2" s="975"/>
    </row>
    <row r="3" spans="1:12" s="136" customFormat="1" ht="15" customHeight="1">
      <c r="A3" s="975"/>
      <c r="B3" s="975"/>
      <c r="C3" s="975"/>
      <c r="D3" s="989"/>
      <c r="E3" s="989"/>
      <c r="F3" s="1309">
        <v>2014</v>
      </c>
      <c r="G3" s="1309"/>
      <c r="H3" s="1309"/>
      <c r="I3" s="62">
        <v>2015</v>
      </c>
      <c r="J3" s="62">
        <v>2016</v>
      </c>
      <c r="K3" s="62">
        <v>2017</v>
      </c>
      <c r="L3" s="62">
        <v>2018</v>
      </c>
    </row>
    <row r="4" spans="1:12" s="136" customFormat="1" ht="28.5" customHeight="1">
      <c r="A4" s="975"/>
      <c r="B4" s="975"/>
      <c r="C4" s="975"/>
      <c r="D4" s="975" t="s">
        <v>1437</v>
      </c>
      <c r="E4" s="975" t="s">
        <v>1534</v>
      </c>
      <c r="F4" s="975" t="s">
        <v>1445</v>
      </c>
      <c r="G4" s="975"/>
      <c r="H4" s="975" t="s">
        <v>1495</v>
      </c>
      <c r="I4" s="975" t="s">
        <v>1437</v>
      </c>
      <c r="J4" s="975" t="s">
        <v>1437</v>
      </c>
      <c r="K4" s="975" t="s">
        <v>1437</v>
      </c>
      <c r="L4" s="975" t="s">
        <v>1437</v>
      </c>
    </row>
    <row r="5" spans="1:12" s="85" customFormat="1" ht="15" customHeight="1">
      <c r="A5" s="975"/>
      <c r="B5" s="975"/>
      <c r="C5" s="975"/>
      <c r="D5" s="975"/>
      <c r="E5" s="975"/>
      <c r="F5" s="37" t="s">
        <v>1437</v>
      </c>
      <c r="G5" s="37" t="s">
        <v>1534</v>
      </c>
      <c r="H5" s="975"/>
      <c r="I5" s="975"/>
      <c r="J5" s="975"/>
      <c r="K5" s="975"/>
      <c r="L5" s="975"/>
    </row>
    <row r="6" spans="1:12" s="85" customFormat="1" ht="14.25" customHeight="1">
      <c r="A6" s="239">
        <v>1</v>
      </c>
      <c r="B6" s="1306">
        <v>2</v>
      </c>
      <c r="C6" s="1306"/>
      <c r="D6" s="239">
        <v>3</v>
      </c>
      <c r="E6" s="239">
        <v>4</v>
      </c>
      <c r="F6" s="239">
        <v>5</v>
      </c>
      <c r="G6" s="239">
        <v>6</v>
      </c>
      <c r="H6" s="239">
        <v>7</v>
      </c>
      <c r="I6" s="239">
        <v>8</v>
      </c>
      <c r="J6" s="239">
        <v>9</v>
      </c>
      <c r="K6" s="239">
        <v>10</v>
      </c>
      <c r="L6" s="239">
        <v>11</v>
      </c>
    </row>
    <row r="7" spans="1:12" ht="23.25" customHeight="1">
      <c r="A7" s="292" t="s">
        <v>1695</v>
      </c>
      <c r="B7" s="1301" t="s">
        <v>1436</v>
      </c>
      <c r="C7" s="1301"/>
      <c r="D7" s="293">
        <f>D8+D11+D13+D17</f>
        <v>1400</v>
      </c>
      <c r="E7" s="294">
        <f>D7/D23</f>
        <v>0.93921910640010742</v>
      </c>
      <c r="F7" s="293">
        <f>F8+F11+F13+F17</f>
        <v>0</v>
      </c>
      <c r="G7" s="294">
        <f>F7/F23</f>
        <v>0</v>
      </c>
      <c r="H7" s="320"/>
      <c r="I7" s="293">
        <f>I8+I11+I13+I17</f>
        <v>350</v>
      </c>
      <c r="J7" s="293">
        <f>J8+J11+J13+J17</f>
        <v>750</v>
      </c>
      <c r="K7" s="293">
        <f>K8+K11+K13+K17</f>
        <v>300</v>
      </c>
      <c r="L7" s="293">
        <f>L8+L11+L13+L17</f>
        <v>0</v>
      </c>
    </row>
    <row r="8" spans="1:12" ht="28.5" customHeight="1">
      <c r="A8" s="300" t="s">
        <v>1693</v>
      </c>
      <c r="B8" s="1320" t="s">
        <v>202</v>
      </c>
      <c r="C8" s="1321"/>
      <c r="D8" s="303">
        <f>D9+D10</f>
        <v>600</v>
      </c>
      <c r="E8" s="302">
        <f>D8/D7</f>
        <v>0.42857142857142855</v>
      </c>
      <c r="F8" s="303">
        <f>F9+F10</f>
        <v>0</v>
      </c>
      <c r="G8" s="298" t="e">
        <f>F8/F7</f>
        <v>#DIV/0!</v>
      </c>
      <c r="H8" s="321"/>
      <c r="I8" s="303">
        <v>0</v>
      </c>
      <c r="J8" s="303">
        <f>J10</f>
        <v>300</v>
      </c>
      <c r="K8" s="303">
        <f>K9</f>
        <v>300</v>
      </c>
      <c r="L8" s="303">
        <v>0</v>
      </c>
    </row>
    <row r="9" spans="1:12" ht="20.25" customHeight="1">
      <c r="A9" s="314" t="s">
        <v>1696</v>
      </c>
      <c r="B9" s="1315" t="s">
        <v>258</v>
      </c>
      <c r="C9" s="1316"/>
      <c r="D9" s="311">
        <f>F9+I9+J9+K9+L9</f>
        <v>300</v>
      </c>
      <c r="E9" s="60">
        <f>D9/D8</f>
        <v>0.5</v>
      </c>
      <c r="F9" s="128">
        <v>0</v>
      </c>
      <c r="G9" s="60" t="e">
        <f>F9/F8</f>
        <v>#DIV/0!</v>
      </c>
      <c r="H9" s="62"/>
      <c r="I9" s="128">
        <v>0</v>
      </c>
      <c r="J9" s="299">
        <v>0</v>
      </c>
      <c r="K9" s="299">
        <v>300</v>
      </c>
      <c r="L9" s="128">
        <v>0</v>
      </c>
    </row>
    <row r="10" spans="1:12" ht="28.5" customHeight="1">
      <c r="A10" s="314" t="s">
        <v>54</v>
      </c>
      <c r="B10" s="1315" t="s">
        <v>259</v>
      </c>
      <c r="C10" s="1316"/>
      <c r="D10" s="311">
        <f>F10+I10+J10+K10+L10</f>
        <v>300</v>
      </c>
      <c r="E10" s="60">
        <f>D10/D8</f>
        <v>0.5</v>
      </c>
      <c r="F10" s="128">
        <v>0</v>
      </c>
      <c r="G10" s="60" t="e">
        <f>F10/F8</f>
        <v>#DIV/0!</v>
      </c>
      <c r="H10" s="62"/>
      <c r="I10" s="128">
        <v>0</v>
      </c>
      <c r="J10" s="299">
        <v>300</v>
      </c>
      <c r="K10" s="299">
        <v>0</v>
      </c>
      <c r="L10" s="128">
        <v>0</v>
      </c>
    </row>
    <row r="11" spans="1:12" ht="25.5" customHeight="1">
      <c r="A11" s="300" t="s">
        <v>1694</v>
      </c>
      <c r="B11" s="1317" t="s">
        <v>198</v>
      </c>
      <c r="C11" s="1317"/>
      <c r="D11" s="303">
        <f>D12</f>
        <v>150</v>
      </c>
      <c r="E11" s="304">
        <f>D11/D7</f>
        <v>0.10714285714285714</v>
      </c>
      <c r="F11" s="303">
        <f>F12</f>
        <v>0</v>
      </c>
      <c r="G11" s="304" t="e">
        <f>F11/F7</f>
        <v>#DIV/0!</v>
      </c>
      <c r="H11" s="322"/>
      <c r="I11" s="303">
        <f>I12</f>
        <v>150</v>
      </c>
      <c r="J11" s="303">
        <f>J12</f>
        <v>0</v>
      </c>
      <c r="K11" s="303">
        <f>K12</f>
        <v>0</v>
      </c>
      <c r="L11" s="303">
        <f>L12</f>
        <v>0</v>
      </c>
    </row>
    <row r="12" spans="1:12" ht="15.75" customHeight="1">
      <c r="A12" s="317" t="s">
        <v>1452</v>
      </c>
      <c r="B12" s="1315" t="s">
        <v>256</v>
      </c>
      <c r="C12" s="1316"/>
      <c r="D12" s="312">
        <f>F12+I12+J12+K12+L12</f>
        <v>150</v>
      </c>
      <c r="E12" s="306">
        <f>D12/D11</f>
        <v>1</v>
      </c>
      <c r="F12" s="299">
        <v>0</v>
      </c>
      <c r="G12" s="306" t="e">
        <f>F12/F11</f>
        <v>#DIV/0!</v>
      </c>
      <c r="H12" s="323"/>
      <c r="I12" s="299">
        <v>150</v>
      </c>
      <c r="J12" s="128">
        <v>0</v>
      </c>
      <c r="K12" s="128">
        <v>0</v>
      </c>
      <c r="L12" s="128">
        <v>0</v>
      </c>
    </row>
    <row r="13" spans="1:12" ht="39.75" customHeight="1">
      <c r="A13" s="300" t="s">
        <v>1759</v>
      </c>
      <c r="B13" s="1317" t="s">
        <v>1496</v>
      </c>
      <c r="C13" s="1317"/>
      <c r="D13" s="303">
        <f>D14+D15+D16</f>
        <v>450</v>
      </c>
      <c r="E13" s="302">
        <f>D13/D7</f>
        <v>0.32142857142857145</v>
      </c>
      <c r="F13" s="303">
        <f>F14+F15+F16</f>
        <v>0</v>
      </c>
      <c r="G13" s="302" t="e">
        <f>F13/F7</f>
        <v>#DIV/0!</v>
      </c>
      <c r="H13" s="324"/>
      <c r="I13" s="303">
        <f>I14+I15+I16</f>
        <v>200</v>
      </c>
      <c r="J13" s="303">
        <f>J14+J15+J16</f>
        <v>250</v>
      </c>
      <c r="K13" s="303">
        <f>K14+K15+K16</f>
        <v>0</v>
      </c>
      <c r="L13" s="303">
        <f>L14+L15+L16</f>
        <v>0</v>
      </c>
    </row>
    <row r="14" spans="1:12" ht="15.75" customHeight="1">
      <c r="A14" s="314" t="s">
        <v>1454</v>
      </c>
      <c r="B14" s="1315" t="s">
        <v>230</v>
      </c>
      <c r="C14" s="1316"/>
      <c r="D14" s="310">
        <f>F14+I14+J14+K14+L14</f>
        <v>50</v>
      </c>
      <c r="E14" s="313">
        <f>D14/D13</f>
        <v>0.1111111111111111</v>
      </c>
      <c r="F14" s="299">
        <v>0</v>
      </c>
      <c r="G14" s="306" t="e">
        <f>F14/F13</f>
        <v>#DIV/0!</v>
      </c>
      <c r="H14" s="323">
        <v>4</v>
      </c>
      <c r="I14" s="299">
        <v>0</v>
      </c>
      <c r="J14" s="299">
        <v>50</v>
      </c>
      <c r="K14" s="319">
        <v>0</v>
      </c>
      <c r="L14" s="319">
        <v>0</v>
      </c>
    </row>
    <row r="15" spans="1:12" ht="15" customHeight="1">
      <c r="A15" s="314" t="s">
        <v>1455</v>
      </c>
      <c r="B15" s="1315" t="s">
        <v>263</v>
      </c>
      <c r="C15" s="1316"/>
      <c r="D15" s="310">
        <f>F15+I15+J15+K15+L15</f>
        <v>200</v>
      </c>
      <c r="E15" s="313">
        <f>D15/D13</f>
        <v>0.44444444444444442</v>
      </c>
      <c r="F15" s="299">
        <v>0</v>
      </c>
      <c r="G15" s="306" t="e">
        <f>F15/F13</f>
        <v>#DIV/0!</v>
      </c>
      <c r="H15" s="323"/>
      <c r="I15" s="299">
        <v>200</v>
      </c>
      <c r="J15" s="299">
        <v>0</v>
      </c>
      <c r="K15" s="319">
        <v>0</v>
      </c>
      <c r="L15" s="319">
        <v>0</v>
      </c>
    </row>
    <row r="16" spans="1:12" ht="15" customHeight="1">
      <c r="A16" s="314" t="s">
        <v>1456</v>
      </c>
      <c r="B16" s="1315" t="s">
        <v>260</v>
      </c>
      <c r="C16" s="1316"/>
      <c r="D16" s="310">
        <f>F16+I16+J16+K16+L16</f>
        <v>200</v>
      </c>
      <c r="E16" s="60">
        <f>D16/D13</f>
        <v>0.44444444444444442</v>
      </c>
      <c r="F16" s="299">
        <v>0</v>
      </c>
      <c r="G16" s="306" t="e">
        <f>F16/F13</f>
        <v>#DIV/0!</v>
      </c>
      <c r="H16" s="323"/>
      <c r="I16" s="299">
        <v>0</v>
      </c>
      <c r="J16" s="299">
        <v>200</v>
      </c>
      <c r="K16" s="128">
        <v>0</v>
      </c>
      <c r="L16" s="128">
        <v>0</v>
      </c>
    </row>
    <row r="17" spans="1:12" ht="24.75" customHeight="1">
      <c r="A17" s="300" t="s">
        <v>1760</v>
      </c>
      <c r="B17" s="1322" t="s">
        <v>1435</v>
      </c>
      <c r="C17" s="1322"/>
      <c r="D17" s="303">
        <f>D18+D19</f>
        <v>200</v>
      </c>
      <c r="E17" s="302">
        <f>D17/D7</f>
        <v>0.14285714285714285</v>
      </c>
      <c r="F17" s="303">
        <f>F18+F19</f>
        <v>0</v>
      </c>
      <c r="G17" s="302" t="e">
        <f>F17/F7</f>
        <v>#DIV/0!</v>
      </c>
      <c r="H17" s="324"/>
      <c r="I17" s="303">
        <f>I18+I19</f>
        <v>0</v>
      </c>
      <c r="J17" s="303">
        <f>J18+J19</f>
        <v>200</v>
      </c>
      <c r="K17" s="303">
        <f>K18+K19</f>
        <v>0</v>
      </c>
      <c r="L17" s="303">
        <f>L18+L19</f>
        <v>0</v>
      </c>
    </row>
    <row r="18" spans="1:12" ht="31.5" customHeight="1">
      <c r="A18" s="314" t="s">
        <v>1458</v>
      </c>
      <c r="B18" s="1315" t="s">
        <v>261</v>
      </c>
      <c r="C18" s="1316"/>
      <c r="D18" s="311">
        <f>F18+I18+J18+K18+L18</f>
        <v>100</v>
      </c>
      <c r="E18" s="60">
        <f>D18/D17</f>
        <v>0.5</v>
      </c>
      <c r="F18" s="299">
        <v>0</v>
      </c>
      <c r="G18" s="306">
        <v>0</v>
      </c>
      <c r="H18" s="323"/>
      <c r="I18" s="299">
        <v>0</v>
      </c>
      <c r="J18" s="299">
        <v>100</v>
      </c>
      <c r="K18" s="128">
        <v>0</v>
      </c>
      <c r="L18" s="128">
        <v>0</v>
      </c>
    </row>
    <row r="19" spans="1:12" ht="32.25" customHeight="1">
      <c r="A19" s="314" t="s">
        <v>1459</v>
      </c>
      <c r="B19" s="1315" t="s">
        <v>314</v>
      </c>
      <c r="C19" s="1316"/>
      <c r="D19" s="311">
        <f>F19+I19+J19+K19+L19</f>
        <v>100</v>
      </c>
      <c r="E19" s="60">
        <f>D19/D17</f>
        <v>0.5</v>
      </c>
      <c r="F19" s="299">
        <v>0</v>
      </c>
      <c r="G19" s="306">
        <v>0</v>
      </c>
      <c r="H19" s="323"/>
      <c r="I19" s="299">
        <v>0</v>
      </c>
      <c r="J19" s="299">
        <v>100</v>
      </c>
      <c r="K19" s="128">
        <v>0</v>
      </c>
      <c r="L19" s="128">
        <v>0</v>
      </c>
    </row>
    <row r="20" spans="1:12" ht="30.75" customHeight="1">
      <c r="A20" s="292" t="s">
        <v>1739</v>
      </c>
      <c r="B20" s="1301" t="s">
        <v>1544</v>
      </c>
      <c r="C20" s="1301"/>
      <c r="D20" s="296">
        <f>D21</f>
        <v>90.6</v>
      </c>
      <c r="E20" s="294">
        <f>D20/D23</f>
        <v>6.0780893599892659E-2</v>
      </c>
      <c r="F20" s="296">
        <f>F21</f>
        <v>90.6</v>
      </c>
      <c r="G20" s="294">
        <f>F20/F23</f>
        <v>1</v>
      </c>
      <c r="H20" s="320"/>
      <c r="I20" s="296">
        <f>I21</f>
        <v>0</v>
      </c>
      <c r="J20" s="296">
        <f>J21</f>
        <v>0</v>
      </c>
      <c r="K20" s="296">
        <f>K21</f>
        <v>0</v>
      </c>
      <c r="L20" s="296">
        <f>L21</f>
        <v>0</v>
      </c>
    </row>
    <row r="21" spans="1:12" ht="30.75" customHeight="1">
      <c r="A21" s="314" t="s">
        <v>1698</v>
      </c>
      <c r="B21" s="1318" t="s">
        <v>264</v>
      </c>
      <c r="C21" s="1319"/>
      <c r="D21" s="305">
        <f>F21+I21+J21+K21+L21</f>
        <v>90.6</v>
      </c>
      <c r="E21" s="306">
        <f>D21/D20</f>
        <v>1</v>
      </c>
      <c r="F21" s="299">
        <f>'6. Проведення закупівлі'!F55</f>
        <v>90.6</v>
      </c>
      <c r="G21" s="60">
        <f>F21/F20</f>
        <v>1</v>
      </c>
      <c r="H21" s="62">
        <v>6</v>
      </c>
      <c r="I21" s="128">
        <v>0</v>
      </c>
      <c r="J21" s="128">
        <v>0</v>
      </c>
      <c r="K21" s="128">
        <v>0</v>
      </c>
      <c r="L21" s="128">
        <v>0</v>
      </c>
    </row>
    <row r="22" spans="1:12">
      <c r="A22" s="292" t="s">
        <v>1740</v>
      </c>
      <c r="B22" s="1301" t="s">
        <v>1536</v>
      </c>
      <c r="C22" s="1301"/>
      <c r="D22" s="293">
        <v>0</v>
      </c>
      <c r="E22" s="294">
        <f>D22/D23</f>
        <v>0</v>
      </c>
      <c r="F22" s="293">
        <v>0</v>
      </c>
      <c r="G22" s="294">
        <f>F22/F23</f>
        <v>0</v>
      </c>
      <c r="H22" s="295"/>
      <c r="I22" s="296">
        <v>0</v>
      </c>
      <c r="J22" s="296">
        <v>0</v>
      </c>
      <c r="K22" s="296">
        <v>0</v>
      </c>
      <c r="L22" s="296">
        <v>0</v>
      </c>
    </row>
    <row r="23" spans="1:12">
      <c r="A23" s="1302" t="s">
        <v>14</v>
      </c>
      <c r="B23" s="1302"/>
      <c r="C23" s="1302"/>
      <c r="D23" s="259">
        <f>D7+D20+D22</f>
        <v>1490.6</v>
      </c>
      <c r="E23" s="254"/>
      <c r="F23" s="259">
        <f>F7+F20+F22</f>
        <v>90.6</v>
      </c>
      <c r="G23" s="254"/>
      <c r="H23" s="261"/>
      <c r="I23" s="259">
        <f>I7+I20+I22</f>
        <v>350</v>
      </c>
      <c r="J23" s="259">
        <f>J7+J20+J22</f>
        <v>750</v>
      </c>
      <c r="K23" s="259">
        <f>K7+K20+K22</f>
        <v>300</v>
      </c>
      <c r="L23" s="259">
        <f>L7+L20+L22</f>
        <v>0</v>
      </c>
    </row>
    <row r="24" spans="1:12">
      <c r="D24" s="140"/>
      <c r="E24" s="140"/>
    </row>
    <row r="25" spans="1:12">
      <c r="D25" s="140"/>
      <c r="E25" s="140"/>
    </row>
  </sheetData>
  <mergeCells count="32">
    <mergeCell ref="A1:L1"/>
    <mergeCell ref="J4:J5"/>
    <mergeCell ref="K4:K5"/>
    <mergeCell ref="F2:L2"/>
    <mergeCell ref="D4:D5"/>
    <mergeCell ref="L4:L5"/>
    <mergeCell ref="D2:E3"/>
    <mergeCell ref="B2:C5"/>
    <mergeCell ref="A2:A5"/>
    <mergeCell ref="F3:H3"/>
    <mergeCell ref="F4:G4"/>
    <mergeCell ref="B17:C17"/>
    <mergeCell ref="B7:C7"/>
    <mergeCell ref="E4:E5"/>
    <mergeCell ref="I4:I5"/>
    <mergeCell ref="H4:H5"/>
    <mergeCell ref="A23:C23"/>
    <mergeCell ref="B6:C6"/>
    <mergeCell ref="B9:C9"/>
    <mergeCell ref="B10:C10"/>
    <mergeCell ref="B13:C13"/>
    <mergeCell ref="B22:C22"/>
    <mergeCell ref="B21:C21"/>
    <mergeCell ref="B20:C20"/>
    <mergeCell ref="B8:C8"/>
    <mergeCell ref="B12:C12"/>
    <mergeCell ref="B18:C18"/>
    <mergeCell ref="B19:C19"/>
    <mergeCell ref="B11:C11"/>
    <mergeCell ref="B15:C15"/>
    <mergeCell ref="B16:C16"/>
    <mergeCell ref="B14:C14"/>
  </mergeCells>
  <phoneticPr fontId="2" type="noConversion"/>
  <pageMargins left="0.71" right="0.28000000000000003" top="0.69" bottom="0.98425196850393704" header="0.51181102362204722" footer="0.51181102362204722"/>
  <pageSetup paperSize="9" scale="92" orientation="landscape" r:id="rId1"/>
  <headerFooter alignWithMargins="0"/>
</worksheet>
</file>

<file path=xl/worksheets/sheet29.xml><?xml version="1.0" encoding="utf-8"?>
<worksheet xmlns="http://schemas.openxmlformats.org/spreadsheetml/2006/main" xmlns:r="http://schemas.openxmlformats.org/officeDocument/2006/relationships">
  <sheetPr codeName="Лист29">
    <tabColor rgb="FF00B0F0"/>
  </sheetPr>
  <dimension ref="A1:M33"/>
  <sheetViews>
    <sheetView view="pageBreakPreview" topLeftCell="A13" zoomScale="85" zoomScaleNormal="70" zoomScaleSheetLayoutView="85" zoomScalePageLayoutView="70" workbookViewId="0">
      <selection activeCell="F32" sqref="F32"/>
    </sheetView>
  </sheetViews>
  <sheetFormatPr defaultRowHeight="15"/>
  <cols>
    <col min="1" max="1" width="4.28515625" style="139" customWidth="1"/>
    <col min="2" max="2" width="25.42578125" style="90" customWidth="1"/>
    <col min="3" max="3" width="12.140625" style="90" customWidth="1"/>
    <col min="4" max="4" width="21.5703125" style="90" customWidth="1"/>
    <col min="5" max="5" width="22" style="90" customWidth="1"/>
    <col min="6" max="6" width="21.7109375" style="90" customWidth="1"/>
    <col min="7" max="7" width="24" style="90" customWidth="1"/>
    <col min="8" max="8" width="22" style="90" customWidth="1"/>
    <col min="9" max="16384" width="9.140625" style="90"/>
  </cols>
  <sheetData>
    <row r="1" spans="1:9" s="94" customFormat="1" ht="13.5" customHeight="1">
      <c r="A1" s="97"/>
      <c r="B1" s="97"/>
      <c r="C1" s="97"/>
      <c r="D1" s="97"/>
      <c r="E1" s="97"/>
      <c r="F1" s="97"/>
      <c r="G1" s="33"/>
      <c r="H1" s="35"/>
      <c r="I1" s="97"/>
    </row>
    <row r="2" spans="1:9" ht="20.25" customHeight="1">
      <c r="A2" s="960" t="s">
        <v>1497</v>
      </c>
      <c r="B2" s="960"/>
      <c r="C2" s="960"/>
      <c r="D2" s="960"/>
      <c r="E2" s="960"/>
      <c r="F2" s="960"/>
      <c r="G2" s="960"/>
      <c r="H2" s="960"/>
      <c r="I2" s="960"/>
    </row>
    <row r="3" spans="1:9" ht="123.75" customHeight="1">
      <c r="A3" s="663" t="s">
        <v>1531</v>
      </c>
      <c r="B3" s="39" t="s">
        <v>1484</v>
      </c>
      <c r="C3" s="39" t="s">
        <v>1485</v>
      </c>
      <c r="D3" s="39" t="s">
        <v>1266</v>
      </c>
      <c r="E3" s="39" t="s">
        <v>1267</v>
      </c>
      <c r="F3" s="39" t="s">
        <v>299</v>
      </c>
      <c r="G3" s="39" t="s">
        <v>1268</v>
      </c>
      <c r="H3" s="39" t="s">
        <v>1269</v>
      </c>
      <c r="I3" s="39" t="s">
        <v>1584</v>
      </c>
    </row>
    <row r="4" spans="1:9" ht="13.5" customHeight="1">
      <c r="A4" s="237">
        <v>1</v>
      </c>
      <c r="B4" s="236">
        <v>2</v>
      </c>
      <c r="C4" s="236">
        <v>3</v>
      </c>
      <c r="D4" s="238">
        <v>4</v>
      </c>
      <c r="E4" s="238">
        <v>5</v>
      </c>
      <c r="F4" s="236">
        <v>6</v>
      </c>
      <c r="G4" s="236">
        <v>7</v>
      </c>
      <c r="H4" s="236">
        <v>8</v>
      </c>
      <c r="I4" s="238">
        <v>9</v>
      </c>
    </row>
    <row r="5" spans="1:9" ht="57" customHeight="1">
      <c r="A5" s="290">
        <v>1</v>
      </c>
      <c r="B5" s="159" t="s">
        <v>1498</v>
      </c>
      <c r="C5" s="72"/>
      <c r="D5" s="288">
        <f>D6+D7+D8+D9+D10+D11+D12+D13</f>
        <v>1255.48</v>
      </c>
      <c r="E5" s="288">
        <f>E6+E7+E8+E9+E10+E11+E12+E13</f>
        <v>0</v>
      </c>
      <c r="F5" s="288">
        <f>F6+F7+F8+F9+F10+F11+F12+F13</f>
        <v>0</v>
      </c>
      <c r="G5" s="288">
        <f>G6+G7+G8+G9+G10+G11+G12+G13</f>
        <v>0</v>
      </c>
      <c r="H5" s="288">
        <f>H6+H7+H8+H9+H10+H11+H12+H13</f>
        <v>1250</v>
      </c>
      <c r="I5" s="138"/>
    </row>
    <row r="6" spans="1:9" ht="13.5" customHeight="1">
      <c r="A6" s="92" t="s">
        <v>1693</v>
      </c>
      <c r="B6" s="205" t="s">
        <v>230</v>
      </c>
      <c r="C6" s="39">
        <v>2014</v>
      </c>
      <c r="D6" s="199">
        <v>5.48</v>
      </c>
      <c r="E6" s="286"/>
      <c r="F6" s="286"/>
      <c r="G6" s="647">
        <f>'5.5. Зв''язок'!F14</f>
        <v>0</v>
      </c>
      <c r="H6" s="122"/>
      <c r="I6" s="124"/>
    </row>
    <row r="7" spans="1:9">
      <c r="A7" s="80">
        <v>1.3</v>
      </c>
      <c r="B7" s="74" t="s">
        <v>257</v>
      </c>
      <c r="C7" s="39">
        <v>2015</v>
      </c>
      <c r="D7" s="199">
        <v>200</v>
      </c>
      <c r="E7" s="93"/>
      <c r="F7" s="93"/>
      <c r="G7" s="287"/>
      <c r="H7" s="93">
        <v>200</v>
      </c>
      <c r="I7" s="124"/>
    </row>
    <row r="8" spans="1:9" ht="30" customHeight="1">
      <c r="A8" s="80">
        <v>1.4</v>
      </c>
      <c r="B8" s="74" t="s">
        <v>258</v>
      </c>
      <c r="C8" s="39">
        <v>2016</v>
      </c>
      <c r="D8" s="199">
        <v>300</v>
      </c>
      <c r="E8" s="93"/>
      <c r="F8" s="93"/>
      <c r="G8" s="287"/>
      <c r="H8" s="287">
        <f t="shared" ref="H8:H13" si="0">D8</f>
        <v>300</v>
      </c>
      <c r="I8" s="124"/>
    </row>
    <row r="9" spans="1:9" ht="14.25" customHeight="1">
      <c r="A9" s="80">
        <v>1.5</v>
      </c>
      <c r="B9" s="205" t="s">
        <v>230</v>
      </c>
      <c r="C9" s="39">
        <v>2016</v>
      </c>
      <c r="D9" s="199">
        <v>50</v>
      </c>
      <c r="E9" s="93"/>
      <c r="F9" s="93"/>
      <c r="G9" s="287"/>
      <c r="H9" s="287">
        <f t="shared" si="0"/>
        <v>50</v>
      </c>
      <c r="I9" s="124"/>
    </row>
    <row r="10" spans="1:9" ht="14.25" customHeight="1">
      <c r="A10" s="80">
        <v>1.6</v>
      </c>
      <c r="B10" s="205" t="s">
        <v>260</v>
      </c>
      <c r="C10" s="39">
        <v>2016</v>
      </c>
      <c r="D10" s="199">
        <v>200</v>
      </c>
      <c r="E10" s="93"/>
      <c r="F10" s="93"/>
      <c r="G10" s="287"/>
      <c r="H10" s="287">
        <f t="shared" si="0"/>
        <v>200</v>
      </c>
      <c r="I10" s="124"/>
    </row>
    <row r="11" spans="1:9" ht="27" customHeight="1">
      <c r="A11" s="80">
        <v>1.7</v>
      </c>
      <c r="B11" s="205" t="s">
        <v>261</v>
      </c>
      <c r="C11" s="39">
        <v>2016</v>
      </c>
      <c r="D11" s="199">
        <v>100</v>
      </c>
      <c r="E11" s="93"/>
      <c r="F11" s="93"/>
      <c r="G11" s="287"/>
      <c r="H11" s="287">
        <f t="shared" si="0"/>
        <v>100</v>
      </c>
      <c r="I11" s="124"/>
    </row>
    <row r="12" spans="1:9" ht="42" customHeight="1">
      <c r="A12" s="80">
        <v>1.8</v>
      </c>
      <c r="B12" s="205" t="s">
        <v>262</v>
      </c>
      <c r="C12" s="39">
        <v>2016</v>
      </c>
      <c r="D12" s="199">
        <v>100</v>
      </c>
      <c r="E12" s="93"/>
      <c r="F12" s="93"/>
      <c r="G12" s="287"/>
      <c r="H12" s="287">
        <f t="shared" si="0"/>
        <v>100</v>
      </c>
      <c r="I12" s="124"/>
    </row>
    <row r="13" spans="1:9" ht="36" customHeight="1">
      <c r="A13" s="289" t="s">
        <v>2</v>
      </c>
      <c r="B13" s="74" t="s">
        <v>259</v>
      </c>
      <c r="C13" s="39">
        <v>2017</v>
      </c>
      <c r="D13" s="199">
        <v>300</v>
      </c>
      <c r="E13" s="93"/>
      <c r="F13" s="93"/>
      <c r="G13" s="287"/>
      <c r="H13" s="287">
        <f t="shared" si="0"/>
        <v>300</v>
      </c>
      <c r="I13" s="124"/>
    </row>
    <row r="14" spans="1:9" ht="59.25" customHeight="1">
      <c r="A14" s="290">
        <v>2</v>
      </c>
      <c r="B14" s="159" t="s">
        <v>1504</v>
      </c>
      <c r="C14" s="72"/>
      <c r="D14" s="122"/>
      <c r="E14" s="122"/>
      <c r="F14" s="122"/>
      <c r="G14" s="122"/>
      <c r="H14" s="122"/>
      <c r="I14" s="138"/>
    </row>
    <row r="15" spans="1:9" ht="83.25" customHeight="1">
      <c r="A15" s="290">
        <v>3</v>
      </c>
      <c r="B15" s="159" t="s">
        <v>1499</v>
      </c>
      <c r="C15" s="72"/>
      <c r="D15" s="288">
        <f>D16+D17+D18+D19</f>
        <v>274.60000000000002</v>
      </c>
      <c r="E15" s="288">
        <f>E16+E17+E18+E19</f>
        <v>0</v>
      </c>
      <c r="F15" s="288">
        <f>F16+F17+F18+F19</f>
        <v>0</v>
      </c>
      <c r="G15" s="288">
        <f>G16+G17+G18+G19</f>
        <v>90.6</v>
      </c>
      <c r="H15" s="288">
        <f>H16+H17+H18+H19</f>
        <v>184</v>
      </c>
      <c r="I15" s="138"/>
    </row>
    <row r="16" spans="1:9" ht="16.5" customHeight="1">
      <c r="A16" s="92" t="s">
        <v>1702</v>
      </c>
      <c r="B16" s="204" t="s">
        <v>228</v>
      </c>
      <c r="C16" s="39">
        <v>2015</v>
      </c>
      <c r="D16" s="199">
        <v>14</v>
      </c>
      <c r="E16" s="39"/>
      <c r="F16" s="39"/>
      <c r="G16" s="199"/>
      <c r="H16" s="199">
        <v>14</v>
      </c>
      <c r="I16" s="124"/>
    </row>
    <row r="17" spans="1:13" ht="30.75" customHeight="1">
      <c r="A17" s="92" t="s">
        <v>1704</v>
      </c>
      <c r="B17" s="204" t="s">
        <v>229</v>
      </c>
      <c r="C17" s="39">
        <v>2015</v>
      </c>
      <c r="D17" s="199">
        <v>20</v>
      </c>
      <c r="E17" s="39"/>
      <c r="F17" s="39"/>
      <c r="G17" s="199"/>
      <c r="H17" s="199">
        <v>20</v>
      </c>
      <c r="I17" s="124"/>
    </row>
    <row r="18" spans="1:13" ht="60">
      <c r="A18" s="92" t="s">
        <v>1492</v>
      </c>
      <c r="B18" s="205" t="s">
        <v>231</v>
      </c>
      <c r="C18" s="39">
        <v>2014</v>
      </c>
      <c r="D18" s="199">
        <v>90.6</v>
      </c>
      <c r="E18" s="39"/>
      <c r="F18" s="39"/>
      <c r="G18" s="199">
        <f>'5.5. Зв''язок'!F21</f>
        <v>90.6</v>
      </c>
      <c r="H18" s="93"/>
      <c r="I18" s="124"/>
    </row>
    <row r="19" spans="1:13">
      <c r="A19" s="92" t="s">
        <v>179</v>
      </c>
      <c r="B19" s="205" t="s">
        <v>256</v>
      </c>
      <c r="C19" s="39">
        <v>2015</v>
      </c>
      <c r="D19" s="199">
        <v>150</v>
      </c>
      <c r="E19" s="39"/>
      <c r="F19" s="39"/>
      <c r="G19" s="199"/>
      <c r="H19" s="287">
        <v>150</v>
      </c>
      <c r="I19" s="124"/>
    </row>
    <row r="20" spans="1:13" ht="73.5" customHeight="1">
      <c r="A20" s="290">
        <v>4</v>
      </c>
      <c r="B20" s="159" t="s">
        <v>164</v>
      </c>
      <c r="C20" s="68"/>
      <c r="D20" s="163"/>
      <c r="E20" s="163"/>
      <c r="F20" s="163"/>
      <c r="G20" s="163"/>
      <c r="H20" s="163"/>
      <c r="I20" s="138"/>
    </row>
    <row r="21" spans="1:13" ht="15" customHeight="1">
      <c r="A21" s="290"/>
      <c r="B21" s="159"/>
      <c r="C21" s="68">
        <v>2014</v>
      </c>
      <c r="D21" s="202">
        <f>D6+D16+D17+D18</f>
        <v>130.07999999999998</v>
      </c>
      <c r="E21" s="202">
        <f>E6+E16+E17+E18</f>
        <v>0</v>
      </c>
      <c r="F21" s="202">
        <f>F6+F16+F17+F18</f>
        <v>0</v>
      </c>
      <c r="G21" s="202">
        <f>G6+G16+G17+G18</f>
        <v>90.6</v>
      </c>
      <c r="H21" s="202">
        <f>H6+H16+H17+H18</f>
        <v>34</v>
      </c>
      <c r="I21" s="138"/>
    </row>
    <row r="22" spans="1:13" ht="15" customHeight="1">
      <c r="A22" s="290"/>
      <c r="B22" s="159"/>
      <c r="C22" s="68">
        <v>2015</v>
      </c>
      <c r="D22" s="202">
        <f>D7+D19+D16+D17</f>
        <v>384</v>
      </c>
      <c r="E22" s="202">
        <f>E7+E19</f>
        <v>0</v>
      </c>
      <c r="F22" s="202">
        <f>F7+F19</f>
        <v>0</v>
      </c>
      <c r="G22" s="202">
        <f>G7+G19</f>
        <v>0</v>
      </c>
      <c r="H22" s="202">
        <f>H7+H19</f>
        <v>350</v>
      </c>
      <c r="I22" s="138"/>
    </row>
    <row r="23" spans="1:13" ht="15" customHeight="1">
      <c r="A23" s="290"/>
      <c r="B23" s="159"/>
      <c r="C23" s="68">
        <v>2016</v>
      </c>
      <c r="D23" s="202">
        <f>D8+D9+D10+D11+D12</f>
        <v>750</v>
      </c>
      <c r="E23" s="202">
        <f>E8+E9+E10+E11+E12</f>
        <v>0</v>
      </c>
      <c r="F23" s="202">
        <f>F8+F9+F10+F11+F12</f>
        <v>0</v>
      </c>
      <c r="G23" s="202">
        <f>G8+G9+G10+G11+G12</f>
        <v>0</v>
      </c>
      <c r="H23" s="202">
        <f>H8+H9+H10+H11+H12</f>
        <v>750</v>
      </c>
      <c r="I23" s="138"/>
    </row>
    <row r="24" spans="1:13" ht="15" customHeight="1">
      <c r="A24" s="290"/>
      <c r="B24" s="159"/>
      <c r="C24" s="68">
        <v>2017</v>
      </c>
      <c r="D24" s="202">
        <f>D13</f>
        <v>300</v>
      </c>
      <c r="E24" s="202">
        <f>E13</f>
        <v>0</v>
      </c>
      <c r="F24" s="202">
        <f>F13</f>
        <v>0</v>
      </c>
      <c r="G24" s="202">
        <f>G13</f>
        <v>0</v>
      </c>
      <c r="H24" s="202">
        <f>H13</f>
        <v>300</v>
      </c>
      <c r="I24" s="138"/>
    </row>
    <row r="25" spans="1:13">
      <c r="A25" s="80"/>
      <c r="B25" s="141"/>
      <c r="C25" s="68">
        <v>2018</v>
      </c>
      <c r="D25" s="72">
        <v>0</v>
      </c>
      <c r="E25" s="72">
        <v>0</v>
      </c>
      <c r="F25" s="72">
        <v>0</v>
      </c>
      <c r="G25" s="72">
        <v>0</v>
      </c>
      <c r="H25" s="72">
        <v>0</v>
      </c>
      <c r="I25" s="124"/>
    </row>
    <row r="26" spans="1:13">
      <c r="A26" s="1311" t="s">
        <v>14</v>
      </c>
      <c r="B26" s="1311"/>
      <c r="C26" s="262"/>
      <c r="D26" s="291">
        <f>D5+D14+D15+D20</f>
        <v>1530.08</v>
      </c>
      <c r="E26" s="291">
        <f>E5+E14+E15+E20</f>
        <v>0</v>
      </c>
      <c r="F26" s="291">
        <f>F5+F14+F15+F20</f>
        <v>0</v>
      </c>
      <c r="G26" s="291">
        <f>G5+G14+G15+G20</f>
        <v>90.6</v>
      </c>
      <c r="H26" s="291">
        <f>H5+H14+H15+H20</f>
        <v>1434</v>
      </c>
      <c r="I26" s="291"/>
    </row>
    <row r="27" spans="1:13">
      <c r="A27" s="142"/>
      <c r="B27" s="143"/>
      <c r="C27" s="143"/>
      <c r="D27" s="143"/>
    </row>
    <row r="28" spans="1:13" s="98" customFormat="1" ht="12.75">
      <c r="A28" s="99"/>
      <c r="B28" s="99"/>
      <c r="C28" s="97"/>
      <c r="D28" s="97"/>
      <c r="E28" s="97"/>
      <c r="F28" s="97"/>
      <c r="G28" s="97"/>
      <c r="H28" s="97"/>
      <c r="I28" s="97"/>
      <c r="J28" s="97"/>
      <c r="K28" s="97"/>
      <c r="L28" s="97"/>
      <c r="M28" s="97"/>
    </row>
    <row r="29" spans="1:13">
      <c r="B29" s="211" t="s">
        <v>248</v>
      </c>
      <c r="C29" s="212"/>
      <c r="D29" s="212"/>
      <c r="E29" s="212"/>
      <c r="F29" s="213"/>
      <c r="G29" s="958" t="s">
        <v>249</v>
      </c>
      <c r="H29" s="958"/>
      <c r="I29" s="958"/>
    </row>
    <row r="30" spans="1:13">
      <c r="B30" s="214" t="s">
        <v>250</v>
      </c>
      <c r="C30" s="212"/>
      <c r="D30" s="212"/>
      <c r="E30" s="212"/>
      <c r="F30" s="212"/>
      <c r="G30" s="1310" t="s">
        <v>143</v>
      </c>
      <c r="H30" s="1310"/>
      <c r="I30" s="1310"/>
    </row>
    <row r="31" spans="1:13">
      <c r="B31" s="214"/>
      <c r="C31" s="212"/>
      <c r="D31" s="212"/>
      <c r="E31" s="212"/>
      <c r="F31" s="212"/>
      <c r="G31" s="212"/>
      <c r="H31" s="212"/>
      <c r="I31" s="212"/>
    </row>
    <row r="32" spans="1:13">
      <c r="B32" s="215" t="s">
        <v>1790</v>
      </c>
      <c r="C32" s="212"/>
      <c r="D32" s="212"/>
      <c r="E32" s="212"/>
      <c r="F32" s="212"/>
      <c r="G32" s="212"/>
      <c r="H32" s="212"/>
      <c r="I32" s="212"/>
    </row>
    <row r="33" spans="2:9">
      <c r="B33" s="216" t="s">
        <v>12</v>
      </c>
      <c r="C33" s="217"/>
      <c r="D33" s="217"/>
      <c r="E33" s="217"/>
      <c r="F33" s="217"/>
      <c r="G33" s="217"/>
      <c r="H33" s="217"/>
      <c r="I33" s="218"/>
    </row>
  </sheetData>
  <mergeCells count="4">
    <mergeCell ref="G29:I29"/>
    <mergeCell ref="G30:I30"/>
    <mergeCell ref="A2:I2"/>
    <mergeCell ref="A26:B26"/>
  </mergeCells>
  <phoneticPr fontId="2" type="noConversion"/>
  <pageMargins left="0.63" right="0.32" top="0.49" bottom="0.38" header="0.45" footer="0.32"/>
  <pageSetup paperSize="9" scale="83" orientation="landscape" r:id="rId1"/>
  <headerFooter alignWithMargins="0"/>
</worksheet>
</file>

<file path=xl/worksheets/sheet3.xml><?xml version="1.0" encoding="utf-8"?>
<worksheet xmlns="http://schemas.openxmlformats.org/spreadsheetml/2006/main" xmlns:r="http://schemas.openxmlformats.org/officeDocument/2006/relationships">
  <sheetPr>
    <tabColor rgb="FF00B0F0"/>
  </sheetPr>
  <dimension ref="A1:N28"/>
  <sheetViews>
    <sheetView view="pageBreakPreview" topLeftCell="A4" zoomScale="90" zoomScaleNormal="90" zoomScaleSheetLayoutView="90" workbookViewId="0">
      <selection activeCell="F27" sqref="F27"/>
    </sheetView>
  </sheetViews>
  <sheetFormatPr defaultRowHeight="12.75"/>
  <cols>
    <col min="1" max="1" width="7" style="876" customWidth="1"/>
    <col min="2" max="2" width="26.7109375" style="876" customWidth="1"/>
    <col min="3" max="3" width="9.7109375" style="876" bestFit="1" customWidth="1"/>
    <col min="4" max="4" width="11" style="876" customWidth="1"/>
    <col min="5" max="5" width="10" style="876" customWidth="1"/>
    <col min="6" max="6" width="10.7109375" style="876" customWidth="1"/>
    <col min="7" max="7" width="10.5703125" style="876" customWidth="1"/>
    <col min="8" max="8" width="11.140625" style="876" customWidth="1"/>
    <col min="9" max="9" width="9.7109375" style="876" bestFit="1" customWidth="1"/>
    <col min="10" max="10" width="9.7109375" style="876" customWidth="1"/>
    <col min="11" max="11" width="10.140625" style="876" customWidth="1"/>
    <col min="12" max="12" width="10" style="876" customWidth="1"/>
    <col min="13" max="16384" width="9.140625" style="876"/>
  </cols>
  <sheetData>
    <row r="1" spans="1:13" s="747" customFormat="1" ht="18.75" hidden="1">
      <c r="A1" s="743"/>
      <c r="B1" s="743"/>
      <c r="C1" s="743"/>
      <c r="D1" s="743"/>
      <c r="E1" s="743"/>
      <c r="F1" s="875"/>
      <c r="G1" s="743"/>
      <c r="H1" s="743"/>
      <c r="I1" s="743"/>
      <c r="J1" s="743"/>
      <c r="K1" s="743"/>
      <c r="L1" s="743"/>
    </row>
    <row r="2" spans="1:13" s="747" customFormat="1" ht="15.75" hidden="1">
      <c r="A2" s="743"/>
      <c r="B2" s="743"/>
      <c r="C2" s="743"/>
      <c r="D2" s="743"/>
      <c r="E2" s="743"/>
      <c r="F2" s="743"/>
      <c r="G2" s="743"/>
      <c r="H2" s="819"/>
      <c r="I2" s="819"/>
      <c r="J2" s="967"/>
      <c r="K2" s="967"/>
      <c r="L2" s="967"/>
    </row>
    <row r="3" spans="1:13" s="747" customFormat="1" ht="15.75" hidden="1">
      <c r="A3" s="743"/>
      <c r="B3" s="743"/>
      <c r="C3" s="743"/>
      <c r="D3" s="743"/>
      <c r="E3" s="743"/>
      <c r="F3" s="743"/>
      <c r="G3" s="743"/>
      <c r="H3" s="743"/>
      <c r="I3" s="744"/>
      <c r="J3" s="745"/>
      <c r="K3" s="745"/>
      <c r="L3" s="745"/>
      <c r="M3" s="746"/>
    </row>
    <row r="4" spans="1:13" ht="22.5" customHeight="1">
      <c r="A4" s="968" t="s">
        <v>323</v>
      </c>
      <c r="B4" s="969"/>
      <c r="C4" s="969"/>
      <c r="D4" s="969"/>
      <c r="E4" s="969"/>
      <c r="F4" s="969"/>
      <c r="G4" s="969"/>
      <c r="H4" s="969"/>
      <c r="I4" s="969"/>
      <c r="J4" s="969"/>
      <c r="K4" s="969"/>
      <c r="L4" s="970"/>
    </row>
    <row r="5" spans="1:13" ht="23.25" customHeight="1">
      <c r="A5" s="966" t="s">
        <v>1603</v>
      </c>
      <c r="B5" s="966" t="s">
        <v>1604</v>
      </c>
      <c r="C5" s="966" t="s">
        <v>1467</v>
      </c>
      <c r="D5" s="966"/>
      <c r="E5" s="966"/>
      <c r="F5" s="966"/>
      <c r="G5" s="966"/>
      <c r="H5" s="966"/>
      <c r="I5" s="966" t="s">
        <v>1468</v>
      </c>
      <c r="J5" s="966"/>
      <c r="K5" s="966" t="s">
        <v>14</v>
      </c>
      <c r="L5" s="966"/>
    </row>
    <row r="6" spans="1:13" ht="21" customHeight="1">
      <c r="A6" s="966"/>
      <c r="B6" s="966"/>
      <c r="C6" s="966" t="s">
        <v>1601</v>
      </c>
      <c r="D6" s="966"/>
      <c r="E6" s="966" t="s">
        <v>1602</v>
      </c>
      <c r="F6" s="966"/>
      <c r="G6" s="966" t="s">
        <v>30</v>
      </c>
      <c r="H6" s="966"/>
      <c r="I6" s="966"/>
      <c r="J6" s="966"/>
      <c r="K6" s="966"/>
      <c r="L6" s="966"/>
    </row>
    <row r="7" spans="1:13" ht="33" customHeight="1">
      <c r="A7" s="966"/>
      <c r="B7" s="966"/>
      <c r="C7" s="877">
        <v>2013</v>
      </c>
      <c r="D7" s="877">
        <v>2014</v>
      </c>
      <c r="E7" s="877">
        <v>2013</v>
      </c>
      <c r="F7" s="877">
        <v>2014</v>
      </c>
      <c r="G7" s="877">
        <v>2013</v>
      </c>
      <c r="H7" s="877">
        <v>2014</v>
      </c>
      <c r="I7" s="877">
        <v>2013</v>
      </c>
      <c r="J7" s="877">
        <v>2014</v>
      </c>
      <c r="K7" s="877">
        <v>2013</v>
      </c>
      <c r="L7" s="877">
        <v>2014</v>
      </c>
    </row>
    <row r="8" spans="1:13" ht="18" customHeight="1">
      <c r="A8" s="878">
        <v>1</v>
      </c>
      <c r="B8" s="879" t="s">
        <v>57</v>
      </c>
      <c r="C8" s="913">
        <v>9070.98</v>
      </c>
      <c r="D8" s="913">
        <v>8725.2161186663361</v>
      </c>
      <c r="E8" s="913">
        <v>30561.809999999998</v>
      </c>
      <c r="F8" s="913">
        <v>30618.912145368035</v>
      </c>
      <c r="G8" s="913">
        <v>39632.79</v>
      </c>
      <c r="H8" s="913">
        <v>39344.128264034371</v>
      </c>
      <c r="I8" s="913">
        <v>1854.21</v>
      </c>
      <c r="J8" s="913">
        <v>2099.8717359656289</v>
      </c>
      <c r="K8" s="913">
        <v>41487</v>
      </c>
      <c r="L8" s="913">
        <v>41444</v>
      </c>
    </row>
    <row r="9" spans="1:13" ht="15">
      <c r="A9" s="880" t="s">
        <v>1693</v>
      </c>
      <c r="B9" s="881" t="s">
        <v>13</v>
      </c>
      <c r="C9" s="907">
        <v>8984.43</v>
      </c>
      <c r="D9" s="907">
        <v>8725.2161186663361</v>
      </c>
      <c r="E9" s="907">
        <v>30129.059999999998</v>
      </c>
      <c r="F9" s="907">
        <v>30618.912145368035</v>
      </c>
      <c r="G9" s="907">
        <v>39113.49</v>
      </c>
      <c r="H9" s="907">
        <v>39344.128264034371</v>
      </c>
      <c r="I9" s="907">
        <v>1796.51</v>
      </c>
      <c r="J9" s="907">
        <v>2099.8717359656289</v>
      </c>
      <c r="K9" s="907">
        <v>40910</v>
      </c>
      <c r="L9" s="907">
        <v>41444</v>
      </c>
    </row>
    <row r="10" spans="1:13" ht="15">
      <c r="A10" s="880" t="s">
        <v>1696</v>
      </c>
      <c r="B10" s="881" t="s">
        <v>1605</v>
      </c>
      <c r="C10" s="907">
        <v>6988</v>
      </c>
      <c r="D10" s="907">
        <v>6343.3661186663376</v>
      </c>
      <c r="E10" s="907">
        <v>20611</v>
      </c>
      <c r="F10" s="907">
        <v>18709.662145368035</v>
      </c>
      <c r="G10" s="907">
        <v>27599</v>
      </c>
      <c r="H10" s="907">
        <v>25053.028264034372</v>
      </c>
      <c r="I10" s="907">
        <v>564</v>
      </c>
      <c r="J10" s="907">
        <v>511.97173596562862</v>
      </c>
      <c r="K10" s="907">
        <v>28163</v>
      </c>
      <c r="L10" s="907">
        <v>25565</v>
      </c>
    </row>
    <row r="11" spans="1:13" ht="30">
      <c r="A11" s="880" t="s">
        <v>54</v>
      </c>
      <c r="B11" s="881" t="s">
        <v>86</v>
      </c>
      <c r="C11" s="907">
        <v>0</v>
      </c>
      <c r="D11" s="907">
        <v>0</v>
      </c>
      <c r="E11" s="907">
        <v>0</v>
      </c>
      <c r="F11" s="907">
        <v>0</v>
      </c>
      <c r="G11" s="907">
        <v>0</v>
      </c>
      <c r="H11" s="907">
        <v>0</v>
      </c>
      <c r="I11" s="907">
        <v>0</v>
      </c>
      <c r="J11" s="907">
        <v>0</v>
      </c>
      <c r="K11" s="907">
        <v>0</v>
      </c>
      <c r="L11" s="907">
        <v>0</v>
      </c>
    </row>
    <row r="12" spans="1:13" ht="15">
      <c r="A12" s="880" t="s">
        <v>55</v>
      </c>
      <c r="B12" s="881" t="s">
        <v>87</v>
      </c>
      <c r="C12" s="907">
        <v>0</v>
      </c>
      <c r="D12" s="907">
        <v>0</v>
      </c>
      <c r="E12" s="907">
        <v>0</v>
      </c>
      <c r="F12" s="907">
        <v>0</v>
      </c>
      <c r="G12" s="907">
        <v>0</v>
      </c>
      <c r="H12" s="907">
        <v>0</v>
      </c>
      <c r="I12" s="907">
        <v>0</v>
      </c>
      <c r="J12" s="907">
        <v>0</v>
      </c>
      <c r="K12" s="907">
        <v>0</v>
      </c>
      <c r="L12" s="907">
        <v>0</v>
      </c>
    </row>
    <row r="13" spans="1:13" ht="15">
      <c r="A13" s="880" t="s">
        <v>56</v>
      </c>
      <c r="B13" s="881" t="s">
        <v>88</v>
      </c>
      <c r="C13" s="907">
        <v>1996.4299999999998</v>
      </c>
      <c r="D13" s="907">
        <v>2381.8499999999995</v>
      </c>
      <c r="E13" s="907">
        <v>9518.06</v>
      </c>
      <c r="F13" s="907">
        <v>11909.25</v>
      </c>
      <c r="G13" s="907">
        <v>11514.49</v>
      </c>
      <c r="H13" s="907">
        <v>14291.099999999999</v>
      </c>
      <c r="I13" s="907">
        <v>1232.51</v>
      </c>
      <c r="J13" s="907">
        <v>1587.9</v>
      </c>
      <c r="K13" s="908">
        <v>12747</v>
      </c>
      <c r="L13" s="908">
        <v>15879</v>
      </c>
    </row>
    <row r="14" spans="1:13" ht="15">
      <c r="A14" s="882" t="s">
        <v>1449</v>
      </c>
      <c r="B14" s="883" t="s">
        <v>214</v>
      </c>
      <c r="C14" s="909">
        <v>717.23</v>
      </c>
      <c r="D14" s="909">
        <v>907.05000000000018</v>
      </c>
      <c r="E14" s="907">
        <v>3122.06</v>
      </c>
      <c r="F14" s="909">
        <v>4535.25</v>
      </c>
      <c r="G14" s="907">
        <v>3839.29</v>
      </c>
      <c r="H14" s="907">
        <v>5442.3</v>
      </c>
      <c r="I14" s="907">
        <v>379.71</v>
      </c>
      <c r="J14" s="909">
        <v>604.70000000000005</v>
      </c>
      <c r="K14" s="908">
        <v>4219</v>
      </c>
      <c r="L14" s="908">
        <v>6047</v>
      </c>
    </row>
    <row r="15" spans="1:13" ht="15">
      <c r="A15" s="882" t="s">
        <v>215</v>
      </c>
      <c r="B15" s="883" t="s">
        <v>216</v>
      </c>
      <c r="C15" s="909">
        <v>1003.1999999999998</v>
      </c>
      <c r="D15" s="909">
        <v>1474.7999999999993</v>
      </c>
      <c r="E15" s="907">
        <v>5016</v>
      </c>
      <c r="F15" s="909">
        <v>7374</v>
      </c>
      <c r="G15" s="907">
        <v>6019.2</v>
      </c>
      <c r="H15" s="907">
        <v>8848.7999999999993</v>
      </c>
      <c r="I15" s="907">
        <v>668.80000000000007</v>
      </c>
      <c r="J15" s="909">
        <v>983.2</v>
      </c>
      <c r="K15" s="908">
        <v>6688</v>
      </c>
      <c r="L15" s="908">
        <v>9832</v>
      </c>
    </row>
    <row r="16" spans="1:13" ht="15">
      <c r="A16" s="882" t="s">
        <v>217</v>
      </c>
      <c r="B16" s="883" t="s">
        <v>218</v>
      </c>
      <c r="C16" s="909">
        <v>276</v>
      </c>
      <c r="D16" s="909">
        <v>0</v>
      </c>
      <c r="E16" s="907">
        <v>1380</v>
      </c>
      <c r="F16" s="909">
        <v>0</v>
      </c>
      <c r="G16" s="907">
        <v>1656</v>
      </c>
      <c r="H16" s="907">
        <v>0</v>
      </c>
      <c r="I16" s="907">
        <v>184</v>
      </c>
      <c r="J16" s="909">
        <v>0</v>
      </c>
      <c r="K16" s="908">
        <v>1840</v>
      </c>
      <c r="L16" s="908">
        <v>0</v>
      </c>
    </row>
    <row r="17" spans="1:14" ht="15">
      <c r="A17" s="880" t="s">
        <v>1694</v>
      </c>
      <c r="B17" s="881" t="s">
        <v>1606</v>
      </c>
      <c r="C17" s="907">
        <v>0</v>
      </c>
      <c r="D17" s="907">
        <v>0</v>
      </c>
      <c r="E17" s="907">
        <v>0</v>
      </c>
      <c r="F17" s="907">
        <v>0</v>
      </c>
      <c r="G17" s="907">
        <v>0</v>
      </c>
      <c r="H17" s="907">
        <v>0</v>
      </c>
      <c r="I17" s="907">
        <v>0</v>
      </c>
      <c r="J17" s="907">
        <v>0</v>
      </c>
      <c r="K17" s="907"/>
      <c r="L17" s="907">
        <v>0</v>
      </c>
    </row>
    <row r="18" spans="1:14" ht="15">
      <c r="A18" s="880" t="s">
        <v>1759</v>
      </c>
      <c r="B18" s="881" t="s">
        <v>1607</v>
      </c>
      <c r="C18" s="907">
        <v>0</v>
      </c>
      <c r="D18" s="907">
        <v>0</v>
      </c>
      <c r="E18" s="907">
        <v>0</v>
      </c>
      <c r="F18" s="907">
        <v>0</v>
      </c>
      <c r="G18" s="907">
        <v>0</v>
      </c>
      <c r="H18" s="907">
        <v>0</v>
      </c>
      <c r="I18" s="907">
        <v>0</v>
      </c>
      <c r="J18" s="907">
        <v>0</v>
      </c>
      <c r="K18" s="907"/>
      <c r="L18" s="907">
        <v>0</v>
      </c>
      <c r="N18" s="876" t="s">
        <v>213</v>
      </c>
    </row>
    <row r="19" spans="1:14" ht="15">
      <c r="A19" s="880" t="s">
        <v>1760</v>
      </c>
      <c r="B19" s="881" t="s">
        <v>1608</v>
      </c>
      <c r="C19" s="907">
        <v>0</v>
      </c>
      <c r="D19" s="907">
        <v>0</v>
      </c>
      <c r="E19" s="907">
        <v>0</v>
      </c>
      <c r="F19" s="907">
        <v>0</v>
      </c>
      <c r="G19" s="907">
        <v>0</v>
      </c>
      <c r="H19" s="907">
        <v>0</v>
      </c>
      <c r="I19" s="907">
        <v>0</v>
      </c>
      <c r="J19" s="907">
        <v>0</v>
      </c>
      <c r="K19" s="907"/>
      <c r="L19" s="907">
        <v>0</v>
      </c>
    </row>
    <row r="20" spans="1:14" ht="15">
      <c r="A20" s="880" t="s">
        <v>1761</v>
      </c>
      <c r="B20" s="881" t="s">
        <v>1609</v>
      </c>
      <c r="C20" s="907">
        <v>0</v>
      </c>
      <c r="D20" s="907">
        <v>0</v>
      </c>
      <c r="E20" s="907">
        <v>0</v>
      </c>
      <c r="F20" s="907">
        <v>0</v>
      </c>
      <c r="G20" s="907">
        <v>0</v>
      </c>
      <c r="H20" s="907">
        <v>0</v>
      </c>
      <c r="I20" s="907">
        <v>0</v>
      </c>
      <c r="J20" s="907">
        <v>0</v>
      </c>
      <c r="K20" s="907"/>
      <c r="L20" s="907">
        <v>0</v>
      </c>
    </row>
    <row r="21" spans="1:14" ht="15">
      <c r="A21" s="880" t="s">
        <v>1762</v>
      </c>
      <c r="B21" s="881" t="s">
        <v>1610</v>
      </c>
      <c r="C21" s="323">
        <v>86.549999999999955</v>
      </c>
      <c r="D21" s="323">
        <v>0</v>
      </c>
      <c r="E21" s="323">
        <v>432.75</v>
      </c>
      <c r="F21" s="323">
        <v>0</v>
      </c>
      <c r="G21" s="323">
        <v>519.29999999999995</v>
      </c>
      <c r="H21" s="323">
        <v>0</v>
      </c>
      <c r="I21" s="323">
        <v>57.7</v>
      </c>
      <c r="J21" s="323">
        <v>0</v>
      </c>
      <c r="K21" s="323">
        <v>577</v>
      </c>
      <c r="L21" s="323">
        <v>0</v>
      </c>
    </row>
    <row r="22" spans="1:14" ht="12.75" customHeight="1">
      <c r="A22" s="882" t="s">
        <v>219</v>
      </c>
      <c r="B22" s="884" t="s">
        <v>220</v>
      </c>
      <c r="C22" s="910">
        <v>86.549999999999955</v>
      </c>
      <c r="D22" s="910">
        <v>0</v>
      </c>
      <c r="E22" s="910">
        <v>432.75</v>
      </c>
      <c r="F22" s="910">
        <v>0</v>
      </c>
      <c r="G22" s="911">
        <v>519.29999999999995</v>
      </c>
      <c r="H22" s="911">
        <v>0</v>
      </c>
      <c r="I22" s="911">
        <v>57.7</v>
      </c>
      <c r="J22" s="911">
        <v>0</v>
      </c>
      <c r="K22" s="912">
        <v>577</v>
      </c>
      <c r="L22" s="912">
        <v>0</v>
      </c>
    </row>
    <row r="23" spans="1:14">
      <c r="A23" s="885"/>
      <c r="B23" s="885"/>
      <c r="C23" s="885"/>
      <c r="D23" s="885"/>
      <c r="E23" s="885"/>
      <c r="F23" s="885"/>
      <c r="G23" s="885"/>
      <c r="H23" s="885"/>
      <c r="I23" s="885"/>
      <c r="J23" s="885"/>
      <c r="K23" s="885"/>
      <c r="L23" s="885"/>
    </row>
    <row r="24" spans="1:14" ht="15">
      <c r="A24" s="886"/>
      <c r="B24" s="211" t="s">
        <v>248</v>
      </c>
      <c r="C24" s="212"/>
      <c r="D24" s="212"/>
      <c r="E24" s="212"/>
      <c r="F24" s="213"/>
      <c r="G24" s="212"/>
      <c r="H24" s="225" t="s">
        <v>249</v>
      </c>
      <c r="I24" s="225"/>
      <c r="J24" s="225"/>
      <c r="K24" s="886"/>
      <c r="L24" s="886"/>
    </row>
    <row r="25" spans="1:14" ht="15">
      <c r="B25" s="214" t="s">
        <v>250</v>
      </c>
      <c r="C25" s="212"/>
      <c r="D25" s="212"/>
      <c r="E25" s="212"/>
      <c r="F25" s="212"/>
      <c r="G25" s="212"/>
      <c r="H25" s="957" t="s">
        <v>143</v>
      </c>
      <c r="I25" s="957"/>
      <c r="J25" s="957"/>
    </row>
    <row r="26" spans="1:14" ht="15">
      <c r="B26" s="214"/>
      <c r="C26" s="212"/>
      <c r="D26" s="212"/>
      <c r="E26" s="212"/>
      <c r="F26" s="212"/>
      <c r="G26" s="212"/>
      <c r="H26" s="212"/>
      <c r="I26" s="212"/>
      <c r="J26" s="212"/>
    </row>
    <row r="27" spans="1:14" ht="15">
      <c r="B27" s="215" t="s">
        <v>1770</v>
      </c>
      <c r="C27" s="212"/>
      <c r="D27" s="212"/>
      <c r="E27" s="212"/>
      <c r="F27" s="212"/>
      <c r="G27" s="212"/>
      <c r="H27" s="212"/>
      <c r="I27" s="212"/>
      <c r="J27" s="212"/>
    </row>
    <row r="28" spans="1:14" ht="15">
      <c r="B28" s="216" t="s">
        <v>12</v>
      </c>
      <c r="C28" s="217"/>
      <c r="D28" s="217"/>
      <c r="E28" s="217"/>
      <c r="F28" s="217"/>
      <c r="G28" s="217"/>
      <c r="H28" s="217"/>
      <c r="I28" s="218"/>
      <c r="J28" s="218"/>
    </row>
  </sheetData>
  <mergeCells count="11">
    <mergeCell ref="E6:F6"/>
    <mergeCell ref="G6:H6"/>
    <mergeCell ref="H25:J25"/>
    <mergeCell ref="J2:L2"/>
    <mergeCell ref="A4:L4"/>
    <mergeCell ref="A5:A7"/>
    <mergeCell ref="B5:B7"/>
    <mergeCell ref="C5:H5"/>
    <mergeCell ref="I5:J6"/>
    <mergeCell ref="K5:L6"/>
    <mergeCell ref="C6:D6"/>
  </mergeCells>
  <phoneticPr fontId="2" type="noConversion"/>
  <pageMargins left="0.64" right="0.57999999999999996" top="0.76" bottom="1" header="0.44" footer="0.5"/>
  <pageSetup paperSize="9" scale="94" orientation="landscape" r:id="rId1"/>
  <headerFooter alignWithMargins="0"/>
  <colBreaks count="1" manualBreakCount="1">
    <brk id="13" max="1048575" man="1"/>
  </colBreaks>
</worksheet>
</file>

<file path=xl/worksheets/sheet30.xml><?xml version="1.0" encoding="utf-8"?>
<worksheet xmlns="http://schemas.openxmlformats.org/spreadsheetml/2006/main" xmlns:r="http://schemas.openxmlformats.org/officeDocument/2006/relationships">
  <sheetPr codeName="Лист30" enableFormatConditionsCalculation="0">
    <tabColor rgb="FF00B0F0"/>
  </sheetPr>
  <dimension ref="A1:K21"/>
  <sheetViews>
    <sheetView view="pageBreakPreview" zoomScaleNormal="100" zoomScaleSheetLayoutView="100" workbookViewId="0">
      <selection activeCell="D2" sqref="D2"/>
    </sheetView>
  </sheetViews>
  <sheetFormatPr defaultRowHeight="15"/>
  <cols>
    <col min="1" max="1" width="4.28515625" style="90" customWidth="1"/>
    <col min="2" max="2" width="25.5703125" style="90" customWidth="1"/>
    <col min="3" max="3" width="12.42578125" style="90" customWidth="1"/>
    <col min="4" max="4" width="9" style="90" customWidth="1"/>
    <col min="5" max="5" width="9.85546875" style="90" customWidth="1"/>
    <col min="6" max="6" width="7.7109375" style="90" customWidth="1"/>
    <col min="7" max="7" width="16.28515625" style="90" customWidth="1"/>
    <col min="8" max="9" width="11.85546875" style="90" customWidth="1"/>
    <col min="10" max="10" width="11.5703125" style="90" customWidth="1"/>
    <col min="11" max="11" width="11.42578125" style="90" customWidth="1"/>
    <col min="12" max="16384" width="9.140625" style="90"/>
  </cols>
  <sheetData>
    <row r="1" spans="1:11" s="94" customFormat="1" ht="18" customHeight="1">
      <c r="A1" s="97"/>
      <c r="B1" s="97"/>
      <c r="C1" s="97"/>
      <c r="D1" s="97"/>
      <c r="E1" s="97"/>
      <c r="F1" s="97"/>
      <c r="G1" s="161"/>
      <c r="H1" s="97"/>
      <c r="I1" s="97"/>
      <c r="J1" s="97"/>
      <c r="K1" s="97"/>
    </row>
    <row r="2" spans="1:11" s="94" customFormat="1" ht="15.75">
      <c r="A2" s="97"/>
      <c r="B2" s="97"/>
      <c r="C2" s="97"/>
      <c r="D2" s="97"/>
      <c r="E2" s="97"/>
      <c r="F2" s="97"/>
      <c r="G2" s="97"/>
      <c r="H2" s="959"/>
      <c r="I2" s="959"/>
      <c r="J2" s="959"/>
      <c r="K2" s="959"/>
    </row>
    <row r="3" spans="1:11" s="94" customFormat="1" ht="13.5" customHeight="1">
      <c r="A3" s="97"/>
      <c r="B3" s="97"/>
      <c r="C3" s="97"/>
      <c r="D3" s="97"/>
      <c r="E3" s="97"/>
      <c r="F3" s="97"/>
      <c r="G3" s="33"/>
      <c r="H3" s="35"/>
      <c r="I3" s="97"/>
      <c r="J3" s="97"/>
      <c r="K3" s="97"/>
    </row>
    <row r="4" spans="1:11" s="88" customFormat="1" ht="25.5" customHeight="1">
      <c r="A4" s="985" t="s">
        <v>1503</v>
      </c>
      <c r="B4" s="985"/>
      <c r="C4" s="985"/>
      <c r="D4" s="985"/>
      <c r="E4" s="985"/>
      <c r="F4" s="985"/>
      <c r="G4" s="985"/>
      <c r="H4" s="985"/>
      <c r="I4" s="985"/>
      <c r="J4" s="985"/>
      <c r="K4" s="985"/>
    </row>
    <row r="5" spans="1:11" s="144" customFormat="1" ht="14.25" customHeight="1">
      <c r="A5" s="975" t="s">
        <v>1531</v>
      </c>
      <c r="B5" s="975" t="s">
        <v>1538</v>
      </c>
      <c r="C5" s="989" t="s">
        <v>333</v>
      </c>
      <c r="D5" s="989"/>
      <c r="E5" s="975" t="s">
        <v>1432</v>
      </c>
      <c r="F5" s="975"/>
      <c r="G5" s="975"/>
      <c r="H5" s="975"/>
      <c r="I5" s="975"/>
      <c r="J5" s="975"/>
      <c r="K5" s="975"/>
    </row>
    <row r="6" spans="1:11" s="144" customFormat="1" ht="35.25" customHeight="1">
      <c r="A6" s="975"/>
      <c r="B6" s="975"/>
      <c r="C6" s="989"/>
      <c r="D6" s="989"/>
      <c r="E6" s="1309">
        <v>2014</v>
      </c>
      <c r="F6" s="989"/>
      <c r="G6" s="989"/>
      <c r="H6" s="62">
        <v>2015</v>
      </c>
      <c r="I6" s="62">
        <v>2016</v>
      </c>
      <c r="J6" s="62">
        <v>2017</v>
      </c>
      <c r="K6" s="62">
        <v>2018</v>
      </c>
    </row>
    <row r="7" spans="1:11" s="144" customFormat="1" ht="24" customHeight="1">
      <c r="A7" s="975"/>
      <c r="B7" s="975"/>
      <c r="C7" s="975" t="s">
        <v>287</v>
      </c>
      <c r="D7" s="975" t="s">
        <v>1534</v>
      </c>
      <c r="E7" s="975" t="s">
        <v>1445</v>
      </c>
      <c r="F7" s="975"/>
      <c r="G7" s="975" t="s">
        <v>1495</v>
      </c>
      <c r="H7" s="975" t="s">
        <v>287</v>
      </c>
      <c r="I7" s="975" t="s">
        <v>287</v>
      </c>
      <c r="J7" s="975" t="s">
        <v>287</v>
      </c>
      <c r="K7" s="975" t="s">
        <v>287</v>
      </c>
    </row>
    <row r="8" spans="1:11" s="144" customFormat="1" ht="51" customHeight="1">
      <c r="A8" s="975"/>
      <c r="B8" s="975"/>
      <c r="C8" s="975"/>
      <c r="D8" s="975"/>
      <c r="E8" s="37" t="s">
        <v>287</v>
      </c>
      <c r="F8" s="37" t="s">
        <v>1534</v>
      </c>
      <c r="G8" s="975"/>
      <c r="H8" s="975"/>
      <c r="I8" s="975"/>
      <c r="J8" s="975"/>
      <c r="K8" s="975"/>
    </row>
    <row r="9" spans="1:11" s="144" customFormat="1" ht="14.25" customHeight="1">
      <c r="A9" s="192">
        <v>1</v>
      </c>
      <c r="B9" s="192">
        <v>2</v>
      </c>
      <c r="C9" s="192">
        <v>3</v>
      </c>
      <c r="D9" s="192">
        <v>4</v>
      </c>
      <c r="E9" s="192">
        <v>5</v>
      </c>
      <c r="F9" s="192">
        <v>6</v>
      </c>
      <c r="G9" s="192">
        <v>7</v>
      </c>
      <c r="H9" s="192">
        <v>8</v>
      </c>
      <c r="I9" s="192">
        <v>9</v>
      </c>
      <c r="J9" s="192">
        <v>10</v>
      </c>
      <c r="K9" s="192">
        <v>11</v>
      </c>
    </row>
    <row r="10" spans="1:11" s="88" customFormat="1" ht="30">
      <c r="A10" s="41">
        <v>1</v>
      </c>
      <c r="B10" s="863" t="s">
        <v>291</v>
      </c>
      <c r="C10" s="196">
        <f>E10+H10+I10+J10+K10</f>
        <v>6736.0010340000008</v>
      </c>
      <c r="D10" s="197">
        <f>C10/C12</f>
        <v>0.47399827299557934</v>
      </c>
      <c r="E10" s="295">
        <f>'6. Проведення закупівлі'!F58</f>
        <v>1103.3399999999999</v>
      </c>
      <c r="F10" s="197">
        <f>E10/E12</f>
        <v>0.47399827299557945</v>
      </c>
      <c r="G10" s="194">
        <f>'[1]4.6.2'!J7</f>
        <v>7.095269746316605</v>
      </c>
      <c r="H10" s="129">
        <f>E10*1.1</f>
        <v>1213.674</v>
      </c>
      <c r="I10" s="129">
        <f t="shared" ref="I10:K11" si="0">H10*1.1</f>
        <v>1335.0414000000001</v>
      </c>
      <c r="J10" s="129">
        <f t="shared" si="0"/>
        <v>1468.5455400000003</v>
      </c>
      <c r="K10" s="129">
        <f t="shared" si="0"/>
        <v>1615.4000940000005</v>
      </c>
    </row>
    <row r="11" spans="1:11">
      <c r="A11" s="190">
        <v>2</v>
      </c>
      <c r="B11" s="866" t="s">
        <v>292</v>
      </c>
      <c r="C11" s="196">
        <f>E11+H11+I11+J11+K11</f>
        <v>7475.0233890000009</v>
      </c>
      <c r="D11" s="197">
        <f>C11/C12</f>
        <v>0.52600172700442061</v>
      </c>
      <c r="E11" s="679">
        <f>'6. Проведення закупівлі'!F59</f>
        <v>1224.3899999999999</v>
      </c>
      <c r="F11" s="197">
        <f>E11/E12</f>
        <v>0.52600172700442061</v>
      </c>
      <c r="G11" s="195" t="s">
        <v>210</v>
      </c>
      <c r="H11" s="129">
        <f>E11*1.1</f>
        <v>1346.829</v>
      </c>
      <c r="I11" s="129">
        <f t="shared" si="0"/>
        <v>1481.5119</v>
      </c>
      <c r="J11" s="129">
        <f t="shared" si="0"/>
        <v>1629.66309</v>
      </c>
      <c r="K11" s="129">
        <f t="shared" si="0"/>
        <v>1792.6293990000001</v>
      </c>
    </row>
    <row r="12" spans="1:11">
      <c r="A12" s="1311" t="s">
        <v>14</v>
      </c>
      <c r="B12" s="1311"/>
      <c r="C12" s="263">
        <f>SUM(C10:C11)</f>
        <v>14211.024423000003</v>
      </c>
      <c r="D12" s="262"/>
      <c r="E12" s="262">
        <f>SUM(E10:E11)</f>
        <v>2327.7299999999996</v>
      </c>
      <c r="F12" s="262"/>
      <c r="G12" s="262"/>
      <c r="H12" s="263">
        <f>SUM(H10:H11)</f>
        <v>2560.5029999999997</v>
      </c>
      <c r="I12" s="263">
        <f>SUM(I10:I11)</f>
        <v>2816.5533</v>
      </c>
      <c r="J12" s="263">
        <f>SUM(J10:J11)</f>
        <v>3098.2086300000001</v>
      </c>
      <c r="K12" s="263">
        <f>SUM(K10:K11)</f>
        <v>3408.0294930000009</v>
      </c>
    </row>
    <row r="21" spans="8:8">
      <c r="H21" s="188"/>
    </row>
  </sheetData>
  <mergeCells count="16">
    <mergeCell ref="H2:K2"/>
    <mergeCell ref="A12:B12"/>
    <mergeCell ref="J7:J8"/>
    <mergeCell ref="K7:K8"/>
    <mergeCell ref="E7:F7"/>
    <mergeCell ref="G7:G8"/>
    <mergeCell ref="H7:H8"/>
    <mergeCell ref="I7:I8"/>
    <mergeCell ref="A4:K4"/>
    <mergeCell ref="A5:A8"/>
    <mergeCell ref="B5:B8"/>
    <mergeCell ref="C5:D6"/>
    <mergeCell ref="E5:K5"/>
    <mergeCell ref="E6:G6"/>
    <mergeCell ref="C7:C8"/>
    <mergeCell ref="D7:D8"/>
  </mergeCells>
  <phoneticPr fontId="2" type="noConversion"/>
  <pageMargins left="1.1599999999999999" right="0.33" top="1" bottom="1" header="0.5" footer="0.5"/>
  <pageSetup paperSize="9" scale="97" orientation="landscape" r:id="rId1"/>
  <headerFooter alignWithMargins="0"/>
</worksheet>
</file>

<file path=xl/worksheets/sheet31.xml><?xml version="1.0" encoding="utf-8"?>
<worksheet xmlns="http://schemas.openxmlformats.org/spreadsheetml/2006/main" xmlns:r="http://schemas.openxmlformats.org/officeDocument/2006/relationships">
  <sheetPr codeName="Лист31">
    <tabColor rgb="FF00B0F0"/>
  </sheetPr>
  <dimension ref="A1:K9"/>
  <sheetViews>
    <sheetView view="pageBreakPreview" zoomScaleNormal="100" zoomScaleSheetLayoutView="100" workbookViewId="0">
      <pane ySplit="7" topLeftCell="A8" activePane="bottomLeft" state="frozen"/>
      <selection activeCell="I37" sqref="I37"/>
      <selection pane="bottomLeft" activeCell="B15" sqref="B15"/>
    </sheetView>
  </sheetViews>
  <sheetFormatPr defaultRowHeight="15"/>
  <cols>
    <col min="1" max="1" width="4.85546875" style="88" customWidth="1"/>
    <col min="2" max="2" width="46.7109375" style="88" customWidth="1"/>
    <col min="3" max="3" width="11.5703125" style="88" customWidth="1"/>
    <col min="4" max="4" width="9.85546875" style="88" customWidth="1"/>
    <col min="5" max="5" width="9.7109375" style="88" customWidth="1"/>
    <col min="6" max="6" width="9" style="88" customWidth="1"/>
    <col min="7" max="7" width="11.140625" style="88" customWidth="1"/>
    <col min="8" max="8" width="10.28515625" style="88" customWidth="1"/>
    <col min="9" max="9" width="9.140625" style="88"/>
    <col min="10" max="10" width="8.7109375" style="88" customWidth="1"/>
    <col min="11" max="11" width="10" style="88" customWidth="1"/>
    <col min="12" max="16384" width="9.140625" style="88"/>
  </cols>
  <sheetData>
    <row r="1" spans="1:11" s="94" customFormat="1" ht="13.5" customHeight="1">
      <c r="A1" s="97"/>
      <c r="B1" s="97"/>
      <c r="C1" s="97"/>
      <c r="D1" s="97"/>
      <c r="E1" s="97"/>
      <c r="F1" s="97"/>
      <c r="G1" s="33"/>
      <c r="H1" s="35"/>
      <c r="I1" s="97"/>
      <c r="J1" s="97"/>
      <c r="K1" s="97"/>
    </row>
    <row r="2" spans="1:11" ht="22.5" customHeight="1">
      <c r="A2" s="985" t="s">
        <v>1505</v>
      </c>
      <c r="B2" s="985"/>
      <c r="C2" s="985"/>
      <c r="D2" s="985"/>
      <c r="E2" s="985"/>
      <c r="F2" s="985"/>
      <c r="G2" s="985"/>
      <c r="H2" s="985"/>
      <c r="I2" s="985"/>
      <c r="J2" s="985"/>
      <c r="K2" s="985"/>
    </row>
    <row r="3" spans="1:11" s="144" customFormat="1" ht="18" customHeight="1">
      <c r="A3" s="975" t="s">
        <v>1531</v>
      </c>
      <c r="B3" s="975" t="s">
        <v>1538</v>
      </c>
      <c r="C3" s="989" t="s">
        <v>333</v>
      </c>
      <c r="D3" s="989"/>
      <c r="E3" s="975" t="s">
        <v>1432</v>
      </c>
      <c r="F3" s="975"/>
      <c r="G3" s="975"/>
      <c r="H3" s="975"/>
      <c r="I3" s="975"/>
      <c r="J3" s="975"/>
      <c r="K3" s="975"/>
    </row>
    <row r="4" spans="1:11" s="144" customFormat="1" ht="31.5" customHeight="1">
      <c r="A4" s="975"/>
      <c r="B4" s="975"/>
      <c r="C4" s="989"/>
      <c r="D4" s="989"/>
      <c r="E4" s="1309">
        <v>2014</v>
      </c>
      <c r="F4" s="989"/>
      <c r="G4" s="989"/>
      <c r="H4" s="62">
        <v>2015</v>
      </c>
      <c r="I4" s="62">
        <v>2016</v>
      </c>
      <c r="J4" s="62">
        <v>2017</v>
      </c>
      <c r="K4" s="62">
        <v>2018</v>
      </c>
    </row>
    <row r="5" spans="1:11" s="144" customFormat="1" ht="21.75" customHeight="1">
      <c r="A5" s="975"/>
      <c r="B5" s="975"/>
      <c r="C5" s="975" t="s">
        <v>287</v>
      </c>
      <c r="D5" s="975" t="s">
        <v>1534</v>
      </c>
      <c r="E5" s="975" t="s">
        <v>1445</v>
      </c>
      <c r="F5" s="975"/>
      <c r="G5" s="975" t="s">
        <v>1495</v>
      </c>
      <c r="H5" s="975" t="s">
        <v>287</v>
      </c>
      <c r="I5" s="975" t="s">
        <v>287</v>
      </c>
      <c r="J5" s="975" t="s">
        <v>287</v>
      </c>
      <c r="K5" s="975" t="s">
        <v>287</v>
      </c>
    </row>
    <row r="6" spans="1:11" s="144" customFormat="1" ht="46.5" customHeight="1">
      <c r="A6" s="975"/>
      <c r="B6" s="975"/>
      <c r="C6" s="975"/>
      <c r="D6" s="975"/>
      <c r="E6" s="37" t="s">
        <v>287</v>
      </c>
      <c r="F6" s="37" t="s">
        <v>1534</v>
      </c>
      <c r="G6" s="975"/>
      <c r="H6" s="975"/>
      <c r="I6" s="975"/>
      <c r="J6" s="975"/>
      <c r="K6" s="975"/>
    </row>
    <row r="7" spans="1:11" s="144" customFormat="1" ht="15" customHeight="1">
      <c r="A7" s="235">
        <v>1</v>
      </c>
      <c r="B7" s="235">
        <v>2</v>
      </c>
      <c r="C7" s="235">
        <v>3</v>
      </c>
      <c r="D7" s="235">
        <v>4</v>
      </c>
      <c r="E7" s="235">
        <v>5</v>
      </c>
      <c r="F7" s="235">
        <v>6</v>
      </c>
      <c r="G7" s="235">
        <v>7</v>
      </c>
      <c r="H7" s="235">
        <v>8</v>
      </c>
      <c r="I7" s="235">
        <v>9</v>
      </c>
      <c r="J7" s="235">
        <v>10</v>
      </c>
      <c r="K7" s="235">
        <v>11</v>
      </c>
    </row>
    <row r="8" spans="1:11" s="144" customFormat="1" ht="32.25" customHeight="1">
      <c r="A8" s="692">
        <v>1</v>
      </c>
      <c r="B8" s="193" t="s">
        <v>221</v>
      </c>
      <c r="C8" s="129">
        <f>E8+H8+I8+J8+K8</f>
        <v>297.7</v>
      </c>
      <c r="D8" s="233">
        <f>C8/C9</f>
        <v>1</v>
      </c>
      <c r="E8" s="295">
        <f>'6. Проведення закупівлі'!F62</f>
        <v>63.7</v>
      </c>
      <c r="F8" s="197">
        <f>E8/E9</f>
        <v>1</v>
      </c>
      <c r="G8" s="234">
        <v>3</v>
      </c>
      <c r="H8" s="234">
        <v>62</v>
      </c>
      <c r="I8" s="234">
        <v>62</v>
      </c>
      <c r="J8" s="234">
        <v>65</v>
      </c>
      <c r="K8" s="234">
        <v>45</v>
      </c>
    </row>
    <row r="9" spans="1:11">
      <c r="A9" s="1323" t="s">
        <v>14</v>
      </c>
      <c r="B9" s="1323"/>
      <c r="C9" s="261">
        <f>SUM(C8:C8)</f>
        <v>297.7</v>
      </c>
      <c r="D9" s="258"/>
      <c r="E9" s="261">
        <f>SUM(E8:E8)</f>
        <v>63.7</v>
      </c>
      <c r="F9" s="258"/>
      <c r="G9" s="258"/>
      <c r="H9" s="261">
        <f>SUM(H8:H8)</f>
        <v>62</v>
      </c>
      <c r="I9" s="261">
        <f>SUM(I8:I8)</f>
        <v>62</v>
      </c>
      <c r="J9" s="261">
        <f>SUM(J8:J8)</f>
        <v>65</v>
      </c>
      <c r="K9" s="261">
        <f>SUM(K8:K8)</f>
        <v>45</v>
      </c>
    </row>
  </sheetData>
  <sheetProtection insertRows="0" deleteRows="0"/>
  <mergeCells count="15">
    <mergeCell ref="A9:B9"/>
    <mergeCell ref="A2:K2"/>
    <mergeCell ref="H5:H6"/>
    <mergeCell ref="D5:D6"/>
    <mergeCell ref="E5:F5"/>
    <mergeCell ref="G5:G6"/>
    <mergeCell ref="A3:A6"/>
    <mergeCell ref="C3:D4"/>
    <mergeCell ref="E3:K3"/>
    <mergeCell ref="E4:G4"/>
    <mergeCell ref="K5:K6"/>
    <mergeCell ref="C5:C6"/>
    <mergeCell ref="B3:B6"/>
    <mergeCell ref="I5:I6"/>
    <mergeCell ref="J5:J6"/>
  </mergeCells>
  <phoneticPr fontId="2" type="noConversion"/>
  <pageMargins left="0.31496062992125984" right="0.39370078740157483" top="0.59055118110236227" bottom="0.98425196850393704"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sheetPr>
    <tabColor rgb="FFFFFF00"/>
  </sheetPr>
  <dimension ref="A1:T72"/>
  <sheetViews>
    <sheetView view="pageBreakPreview" zoomScale="70" zoomScaleNormal="70" zoomScaleSheetLayoutView="70" workbookViewId="0">
      <pane ySplit="8" topLeftCell="A18" activePane="bottomLeft" state="frozen"/>
      <selection activeCell="J40" sqref="J40"/>
      <selection pane="bottomLeft" activeCell="Q10" sqref="Q10"/>
    </sheetView>
  </sheetViews>
  <sheetFormatPr defaultRowHeight="15"/>
  <cols>
    <col min="1" max="1" width="5" style="824" customWidth="1"/>
    <col min="2" max="2" width="40" style="824" customWidth="1"/>
    <col min="3" max="3" width="7.42578125" style="824" customWidth="1"/>
    <col min="4" max="4" width="10.140625" style="824" customWidth="1"/>
    <col min="5" max="5" width="9.5703125" style="824" customWidth="1"/>
    <col min="6" max="6" width="10.85546875" style="824" customWidth="1"/>
    <col min="7" max="7" width="9.5703125" style="824" customWidth="1"/>
    <col min="8" max="8" width="11.28515625" style="824" customWidth="1"/>
    <col min="9" max="9" width="9.7109375" style="824" customWidth="1"/>
    <col min="10" max="10" width="10.7109375" style="824" customWidth="1"/>
    <col min="11" max="11" width="9.42578125" style="824" customWidth="1"/>
    <col min="12" max="12" width="11" style="824" customWidth="1"/>
    <col min="13" max="13" width="9.5703125" style="824" customWidth="1"/>
    <col min="14" max="14" width="10.7109375" style="824" customWidth="1"/>
    <col min="15" max="15" width="20.140625" style="824" customWidth="1"/>
    <col min="16" max="16" width="11.28515625" style="824" customWidth="1"/>
    <col min="17" max="17" width="12.5703125" style="824" customWidth="1"/>
    <col min="18" max="18" width="11.85546875" style="824" customWidth="1"/>
    <col min="19" max="19" width="9.85546875" style="824" customWidth="1"/>
    <col min="20" max="16384" width="9.140625" style="824"/>
  </cols>
  <sheetData>
    <row r="1" spans="1:20" s="747" customFormat="1" ht="18" customHeight="1">
      <c r="A1" s="743"/>
      <c r="B1" s="743"/>
      <c r="C1" s="743"/>
      <c r="D1" s="743"/>
      <c r="E1" s="743"/>
      <c r="F1" s="743"/>
      <c r="G1" s="743"/>
      <c r="H1" s="743"/>
      <c r="I1" s="743"/>
      <c r="J1" s="817"/>
      <c r="K1" s="743"/>
      <c r="L1" s="743"/>
      <c r="M1" s="743"/>
      <c r="N1" s="743"/>
      <c r="O1" s="743"/>
      <c r="P1" s="743"/>
      <c r="Q1" s="743"/>
      <c r="R1" s="743"/>
      <c r="S1" s="743"/>
      <c r="T1" s="743"/>
    </row>
    <row r="2" spans="1:20" s="747" customFormat="1" ht="16.5">
      <c r="A2" s="743"/>
      <c r="B2" s="743"/>
      <c r="C2" s="743"/>
      <c r="D2" s="743"/>
      <c r="E2" s="743"/>
      <c r="F2" s="743"/>
      <c r="G2" s="743"/>
      <c r="H2" s="818"/>
      <c r="I2" s="819"/>
      <c r="J2" s="895"/>
      <c r="K2" s="743"/>
      <c r="L2" s="743"/>
      <c r="M2" s="743"/>
      <c r="N2" s="743"/>
      <c r="O2" s="743"/>
      <c r="P2" s="743"/>
      <c r="Q2" s="820"/>
      <c r="R2" s="820"/>
      <c r="S2" s="820"/>
      <c r="T2" s="743"/>
    </row>
    <row r="3" spans="1:20" s="747" customFormat="1" ht="13.5" customHeight="1">
      <c r="A3" s="743"/>
      <c r="B3" s="743"/>
      <c r="C3" s="743"/>
      <c r="D3" s="743"/>
      <c r="E3" s="743"/>
      <c r="F3" s="743"/>
      <c r="G3" s="744"/>
      <c r="H3" s="745"/>
      <c r="I3" s="745"/>
      <c r="J3" s="745"/>
      <c r="K3" s="743"/>
      <c r="L3" s="743"/>
      <c r="M3" s="743"/>
      <c r="N3" s="743"/>
      <c r="O3" s="743"/>
      <c r="P3" s="743"/>
      <c r="Q3" s="743"/>
      <c r="R3" s="743"/>
      <c r="S3" s="743"/>
      <c r="T3" s="743"/>
    </row>
    <row r="4" spans="1:20" s="821" customFormat="1" ht="26.25" customHeight="1">
      <c r="A4" s="968" t="s">
        <v>324</v>
      </c>
      <c r="B4" s="969"/>
      <c r="C4" s="969"/>
      <c r="D4" s="969"/>
      <c r="E4" s="969"/>
      <c r="F4" s="969"/>
      <c r="G4" s="969"/>
      <c r="H4" s="969"/>
      <c r="I4" s="969"/>
      <c r="J4" s="969"/>
      <c r="K4" s="969"/>
      <c r="L4" s="969"/>
      <c r="M4" s="969"/>
      <c r="N4" s="969"/>
      <c r="O4" s="969"/>
      <c r="P4" s="969"/>
      <c r="Q4" s="969"/>
      <c r="R4" s="969"/>
      <c r="S4" s="970"/>
    </row>
    <row r="5" spans="1:20" s="821" customFormat="1" ht="15" customHeight="1">
      <c r="A5" s="1324" t="s">
        <v>1531</v>
      </c>
      <c r="B5" s="1324" t="s">
        <v>1522</v>
      </c>
      <c r="C5" s="1324" t="s">
        <v>1550</v>
      </c>
      <c r="D5" s="1324" t="s">
        <v>288</v>
      </c>
      <c r="E5" s="1324" t="s">
        <v>14</v>
      </c>
      <c r="F5" s="1324"/>
      <c r="G5" s="1324" t="s">
        <v>1506</v>
      </c>
      <c r="H5" s="1324"/>
      <c r="I5" s="1324"/>
      <c r="J5" s="1324"/>
      <c r="K5" s="1324"/>
      <c r="L5" s="1324"/>
      <c r="M5" s="1324"/>
      <c r="N5" s="1324"/>
      <c r="O5" s="1324" t="s">
        <v>1551</v>
      </c>
      <c r="P5" s="1325" t="s">
        <v>59</v>
      </c>
      <c r="Q5" s="1325" t="s">
        <v>1686</v>
      </c>
      <c r="R5" s="1325" t="s">
        <v>1507</v>
      </c>
      <c r="S5" s="1324" t="s">
        <v>1584</v>
      </c>
    </row>
    <row r="6" spans="1:20" s="821" customFormat="1" ht="17.25" customHeight="1">
      <c r="A6" s="1324"/>
      <c r="B6" s="1324"/>
      <c r="C6" s="1324"/>
      <c r="D6" s="1324"/>
      <c r="E6" s="1324" t="s">
        <v>133</v>
      </c>
      <c r="F6" s="1324" t="s">
        <v>287</v>
      </c>
      <c r="G6" s="1324" t="s">
        <v>1546</v>
      </c>
      <c r="H6" s="1324"/>
      <c r="I6" s="1324" t="s">
        <v>1547</v>
      </c>
      <c r="J6" s="1324"/>
      <c r="K6" s="1324" t="s">
        <v>1548</v>
      </c>
      <c r="L6" s="1324"/>
      <c r="M6" s="1324" t="s">
        <v>58</v>
      </c>
      <c r="N6" s="1324"/>
      <c r="O6" s="1324"/>
      <c r="P6" s="1326"/>
      <c r="Q6" s="1326"/>
      <c r="R6" s="1326"/>
      <c r="S6" s="1324"/>
    </row>
    <row r="7" spans="1:20" s="821" customFormat="1" ht="72.75" customHeight="1">
      <c r="A7" s="1324"/>
      <c r="B7" s="1324"/>
      <c r="C7" s="1324"/>
      <c r="D7" s="1324"/>
      <c r="E7" s="1324"/>
      <c r="F7" s="1324"/>
      <c r="G7" s="822" t="s">
        <v>1545</v>
      </c>
      <c r="H7" s="822" t="s">
        <v>287</v>
      </c>
      <c r="I7" s="822" t="s">
        <v>1545</v>
      </c>
      <c r="J7" s="822" t="s">
        <v>287</v>
      </c>
      <c r="K7" s="822" t="s">
        <v>1545</v>
      </c>
      <c r="L7" s="822" t="s">
        <v>287</v>
      </c>
      <c r="M7" s="822" t="s">
        <v>1545</v>
      </c>
      <c r="N7" s="822" t="s">
        <v>287</v>
      </c>
      <c r="O7" s="1324"/>
      <c r="P7" s="1327"/>
      <c r="Q7" s="1327"/>
      <c r="R7" s="1327"/>
      <c r="S7" s="1324"/>
    </row>
    <row r="8" spans="1:20" s="821" customFormat="1">
      <c r="A8" s="823">
        <v>1</v>
      </c>
      <c r="B8" s="823">
        <v>2</v>
      </c>
      <c r="C8" s="823">
        <v>3</v>
      </c>
      <c r="D8" s="823">
        <v>4</v>
      </c>
      <c r="E8" s="823">
        <v>5</v>
      </c>
      <c r="F8" s="823">
        <v>6</v>
      </c>
      <c r="G8" s="823">
        <v>7</v>
      </c>
      <c r="H8" s="823">
        <v>8</v>
      </c>
      <c r="I8" s="823">
        <v>9</v>
      </c>
      <c r="J8" s="823">
        <v>10</v>
      </c>
      <c r="K8" s="823">
        <v>11</v>
      </c>
      <c r="L8" s="823">
        <v>12</v>
      </c>
      <c r="M8" s="823">
        <v>13</v>
      </c>
      <c r="N8" s="823">
        <v>14</v>
      </c>
      <c r="O8" s="823">
        <v>15</v>
      </c>
      <c r="P8" s="823">
        <v>16</v>
      </c>
      <c r="Q8" s="823">
        <v>17</v>
      </c>
      <c r="R8" s="823">
        <v>18</v>
      </c>
      <c r="S8" s="823">
        <v>19</v>
      </c>
    </row>
    <row r="9" spans="1:20">
      <c r="A9" s="1328" t="s">
        <v>360</v>
      </c>
      <c r="B9" s="1329"/>
      <c r="C9" s="1329"/>
      <c r="D9" s="1329"/>
      <c r="E9" s="1329"/>
      <c r="F9" s="1329"/>
      <c r="G9" s="1329"/>
      <c r="H9" s="1329"/>
      <c r="I9" s="1329"/>
      <c r="J9" s="1329"/>
      <c r="K9" s="1329"/>
      <c r="L9" s="1329"/>
      <c r="M9" s="1329"/>
      <c r="N9" s="1329"/>
      <c r="O9" s="1329"/>
      <c r="P9" s="1329"/>
      <c r="Q9" s="1329"/>
      <c r="R9" s="1329"/>
      <c r="S9" s="1330"/>
    </row>
    <row r="10" spans="1:20" ht="45">
      <c r="A10" s="231">
        <v>1.1000000000000001</v>
      </c>
      <c r="B10" s="651" t="s">
        <v>361</v>
      </c>
      <c r="C10" s="232" t="s">
        <v>1553</v>
      </c>
      <c r="D10" s="825">
        <f t="shared" ref="D10:D22" si="0">F10/E10</f>
        <v>196.87738353595586</v>
      </c>
      <c r="E10" s="825">
        <f>'5.1.1. Обсяги робіт'!E24</f>
        <v>94.921999999999983</v>
      </c>
      <c r="F10" s="681">
        <f>'5.1.1. Обсяги робіт'!F24</f>
        <v>18687.994999999999</v>
      </c>
      <c r="G10" s="889">
        <v>23.39</v>
      </c>
      <c r="H10" s="889">
        <v>4647.8500000000004</v>
      </c>
      <c r="I10" s="825">
        <v>18.382000000000001</v>
      </c>
      <c r="J10" s="825">
        <v>3530.1410000000001</v>
      </c>
      <c r="K10" s="825">
        <v>29.85</v>
      </c>
      <c r="L10" s="825">
        <v>5375.0050000000001</v>
      </c>
      <c r="M10" s="825">
        <v>23.3</v>
      </c>
      <c r="N10" s="825">
        <v>5135.0050000000001</v>
      </c>
      <c r="O10" s="906" t="s">
        <v>542</v>
      </c>
      <c r="P10" s="826"/>
      <c r="Q10" s="827" t="s">
        <v>473</v>
      </c>
      <c r="R10" s="827"/>
      <c r="S10" s="826"/>
    </row>
    <row r="11" spans="1:20" ht="30">
      <c r="A11" s="231">
        <v>1.2</v>
      </c>
      <c r="B11" s="650" t="s">
        <v>252</v>
      </c>
      <c r="C11" s="232" t="s">
        <v>209</v>
      </c>
      <c r="D11" s="825">
        <f t="shared" si="0"/>
        <v>0.30399999999999999</v>
      </c>
      <c r="E11" s="676">
        <f>'5.1.1. Обсяги робіт'!E67</f>
        <v>2200</v>
      </c>
      <c r="F11" s="681">
        <f>'5.1.1. Обсяги робіт'!F67</f>
        <v>668.8</v>
      </c>
      <c r="G11" s="677">
        <v>455</v>
      </c>
      <c r="H11" s="825">
        <f>G11*D11</f>
        <v>138.32</v>
      </c>
      <c r="I11" s="677">
        <v>390</v>
      </c>
      <c r="J11" s="825">
        <f>I11*D11</f>
        <v>118.56</v>
      </c>
      <c r="K11" s="677">
        <v>800</v>
      </c>
      <c r="L11" s="825">
        <v>243.2</v>
      </c>
      <c r="M11" s="677">
        <v>555</v>
      </c>
      <c r="N11" s="825">
        <v>168.72</v>
      </c>
      <c r="O11" s="906" t="s">
        <v>543</v>
      </c>
      <c r="P11" s="828"/>
      <c r="Q11" s="827" t="s">
        <v>474</v>
      </c>
      <c r="R11" s="828"/>
      <c r="S11" s="828"/>
    </row>
    <row r="12" spans="1:20" ht="30">
      <c r="A12" s="231">
        <v>1.3</v>
      </c>
      <c r="B12" s="650" t="s">
        <v>253</v>
      </c>
      <c r="C12" s="232" t="s">
        <v>209</v>
      </c>
      <c r="D12" s="825">
        <f t="shared" si="0"/>
        <v>0.56049631268436584</v>
      </c>
      <c r="E12" s="676">
        <f>'5.1.1. Обсяги робіт'!E68</f>
        <v>1356</v>
      </c>
      <c r="F12" s="681">
        <f>'5.1.1. Обсяги робіт'!F68</f>
        <v>760.03300000000002</v>
      </c>
      <c r="G12" s="677">
        <v>282</v>
      </c>
      <c r="H12" s="825">
        <f>G12*D12</f>
        <v>158.05996017699115</v>
      </c>
      <c r="I12" s="677">
        <v>242</v>
      </c>
      <c r="J12" s="825">
        <f>I12*D12</f>
        <v>135.64010766961653</v>
      </c>
      <c r="K12" s="677">
        <v>500</v>
      </c>
      <c r="L12" s="825">
        <v>280.24815634218294</v>
      </c>
      <c r="M12" s="677">
        <v>332</v>
      </c>
      <c r="N12" s="825">
        <v>186.08477581120945</v>
      </c>
      <c r="O12" s="906" t="s">
        <v>544</v>
      </c>
      <c r="P12" s="828"/>
      <c r="Q12" s="827" t="s">
        <v>474</v>
      </c>
      <c r="R12" s="828"/>
      <c r="S12" s="828"/>
    </row>
    <row r="13" spans="1:20">
      <c r="A13" s="231">
        <v>1.4</v>
      </c>
      <c r="B13" s="652" t="s">
        <v>254</v>
      </c>
      <c r="C13" s="232" t="s">
        <v>209</v>
      </c>
      <c r="D13" s="825">
        <f t="shared" si="0"/>
        <v>182.71578571428577</v>
      </c>
      <c r="E13" s="825">
        <f>'5.1.1. Обсяги робіт'!E121</f>
        <v>14</v>
      </c>
      <c r="F13" s="681">
        <f>'5.1.1. Обсяги робіт'!F120</f>
        <v>2558.0210000000006</v>
      </c>
      <c r="G13" s="830"/>
      <c r="H13" s="825"/>
      <c r="I13" s="830"/>
      <c r="J13" s="825"/>
      <c r="K13" s="830">
        <v>4</v>
      </c>
      <c r="L13" s="825">
        <v>674.21299999999997</v>
      </c>
      <c r="M13" s="830">
        <v>10</v>
      </c>
      <c r="N13" s="825">
        <f>1883.811-0.002798</f>
        <v>1883.8082019999999</v>
      </c>
      <c r="O13" s="906" t="s">
        <v>582</v>
      </c>
      <c r="P13" s="826"/>
      <c r="Q13" s="827" t="s">
        <v>475</v>
      </c>
      <c r="R13" s="827"/>
      <c r="S13" s="826"/>
    </row>
    <row r="14" spans="1:20" ht="25.5">
      <c r="A14" s="231">
        <v>1.5</v>
      </c>
      <c r="B14" s="653" t="s">
        <v>317</v>
      </c>
      <c r="C14" s="232" t="s">
        <v>1553</v>
      </c>
      <c r="D14" s="825">
        <f t="shared" si="0"/>
        <v>418.41324979268404</v>
      </c>
      <c r="E14" s="825">
        <f>'5.1.1. Обсяги робіт'!E79</f>
        <v>10.853000000000002</v>
      </c>
      <c r="F14" s="681">
        <f>'5.1.1. Обсяги робіт'!F79</f>
        <v>4541.0390000000007</v>
      </c>
      <c r="G14" s="825">
        <v>3.07</v>
      </c>
      <c r="H14" s="825">
        <v>1223.4000000000001</v>
      </c>
      <c r="I14" s="825">
        <v>2.1339999999999999</v>
      </c>
      <c r="J14" s="825">
        <v>892.84</v>
      </c>
      <c r="K14" s="825">
        <v>2.4445000000000001</v>
      </c>
      <c r="L14" s="825">
        <v>1108.7384999999999</v>
      </c>
      <c r="M14" s="831">
        <v>3.2050000000000001</v>
      </c>
      <c r="N14" s="825">
        <v>1316.0604999999998</v>
      </c>
      <c r="O14" s="906" t="s">
        <v>545</v>
      </c>
      <c r="P14" s="826"/>
      <c r="Q14" s="827" t="s">
        <v>476</v>
      </c>
      <c r="R14" s="829"/>
      <c r="S14" s="826"/>
    </row>
    <row r="15" spans="1:20" ht="38.25">
      <c r="A15" s="231">
        <v>1.6</v>
      </c>
      <c r="B15" s="653" t="s">
        <v>318</v>
      </c>
      <c r="C15" s="232" t="s">
        <v>1553</v>
      </c>
      <c r="D15" s="825">
        <f t="shared" si="0"/>
        <v>543.04166666666663</v>
      </c>
      <c r="E15" s="825">
        <f>'5.1.1. Обсяги робіт'!E99</f>
        <v>1.1519999999999999</v>
      </c>
      <c r="F15" s="681">
        <f>'5.1.1. Обсяги робіт'!F99</f>
        <v>625.58399999999995</v>
      </c>
      <c r="G15" s="677"/>
      <c r="H15" s="825"/>
      <c r="I15" s="677"/>
      <c r="J15" s="825"/>
      <c r="K15" s="825">
        <v>0.52400000000000002</v>
      </c>
      <c r="L15" s="825">
        <v>166.11199999999999</v>
      </c>
      <c r="M15" s="825">
        <v>0.629</v>
      </c>
      <c r="N15" s="825">
        <v>459.47199999999998</v>
      </c>
      <c r="O15" s="906" t="s">
        <v>535</v>
      </c>
      <c r="P15" s="826"/>
      <c r="Q15" s="827" t="s">
        <v>477</v>
      </c>
      <c r="R15" s="829"/>
      <c r="S15" s="826"/>
    </row>
    <row r="16" spans="1:20" ht="28.5" customHeight="1">
      <c r="A16" s="832">
        <v>1.7</v>
      </c>
      <c r="B16" s="653" t="s">
        <v>828</v>
      </c>
      <c r="C16" s="232" t="s">
        <v>209</v>
      </c>
      <c r="D16" s="825">
        <f t="shared" si="0"/>
        <v>62.067</v>
      </c>
      <c r="E16" s="677">
        <v>1</v>
      </c>
      <c r="F16" s="681">
        <f>'5.1.1. Обсяги робіт'!F110</f>
        <v>62.067</v>
      </c>
      <c r="G16" s="677">
        <v>1</v>
      </c>
      <c r="H16" s="825">
        <f>D16</f>
        <v>62.067</v>
      </c>
      <c r="I16" s="677"/>
      <c r="J16" s="825"/>
      <c r="K16" s="903"/>
      <c r="L16" s="902"/>
      <c r="M16" s="903"/>
      <c r="N16" s="902"/>
      <c r="O16" s="231" t="s">
        <v>582</v>
      </c>
      <c r="P16" s="826"/>
      <c r="Q16" s="827" t="s">
        <v>478</v>
      </c>
      <c r="R16" s="677"/>
      <c r="S16" s="833" t="s">
        <v>627</v>
      </c>
    </row>
    <row r="17" spans="1:19" ht="45">
      <c r="A17" s="832">
        <v>1.8</v>
      </c>
      <c r="B17" s="900" t="s">
        <v>528</v>
      </c>
      <c r="C17" s="232" t="s">
        <v>209</v>
      </c>
      <c r="D17" s="825">
        <f t="shared" si="0"/>
        <v>62.07</v>
      </c>
      <c r="E17" s="904">
        <f>'5.1.1. Обсяги робіт'!E111</f>
        <v>6</v>
      </c>
      <c r="F17" s="681">
        <f>'5.1.1. Обсяги робіт'!F111</f>
        <v>372.42</v>
      </c>
      <c r="G17" s="677"/>
      <c r="H17" s="825"/>
      <c r="I17" s="677"/>
      <c r="J17" s="825"/>
      <c r="K17" s="903"/>
      <c r="L17" s="902"/>
      <c r="M17" s="677">
        <v>6</v>
      </c>
      <c r="N17" s="825">
        <v>372.42</v>
      </c>
      <c r="O17" s="845" t="s">
        <v>88</v>
      </c>
      <c r="P17" s="826"/>
      <c r="Q17" s="827"/>
      <c r="R17" s="677"/>
      <c r="S17" s="833" t="s">
        <v>627</v>
      </c>
    </row>
    <row r="18" spans="1:19" ht="45">
      <c r="A18" s="832">
        <v>1.9</v>
      </c>
      <c r="B18" s="900" t="s">
        <v>530</v>
      </c>
      <c r="C18" s="232" t="s">
        <v>209</v>
      </c>
      <c r="D18" s="825">
        <f t="shared" si="0"/>
        <v>62.07</v>
      </c>
      <c r="E18" s="904">
        <f>'5.1.1. Обсяги робіт'!E118</f>
        <v>6</v>
      </c>
      <c r="F18" s="681">
        <f>'5.1.1. Обсяги робіт'!F118</f>
        <v>372.42</v>
      </c>
      <c r="G18" s="677"/>
      <c r="H18" s="825"/>
      <c r="I18" s="677"/>
      <c r="J18" s="825"/>
      <c r="K18" s="903"/>
      <c r="L18" s="902"/>
      <c r="M18" s="904">
        <v>6</v>
      </c>
      <c r="N18" s="681">
        <v>372.42</v>
      </c>
      <c r="O18" s="845" t="s">
        <v>88</v>
      </c>
      <c r="P18" s="826"/>
      <c r="Q18" s="827"/>
      <c r="R18" s="677"/>
      <c r="S18" s="833" t="s">
        <v>627</v>
      </c>
    </row>
    <row r="19" spans="1:19" ht="43.5" customHeight="1">
      <c r="A19" s="901">
        <v>1.1000000000000001</v>
      </c>
      <c r="B19" s="671" t="s">
        <v>320</v>
      </c>
      <c r="C19" s="232" t="s">
        <v>209</v>
      </c>
      <c r="D19" s="825">
        <f t="shared" si="0"/>
        <v>3.3516250000000003</v>
      </c>
      <c r="E19" s="677">
        <v>8</v>
      </c>
      <c r="F19" s="681">
        <f>'5.1.1. Обсяги робіт'!F113</f>
        <v>26.813000000000002</v>
      </c>
      <c r="G19" s="677">
        <v>8</v>
      </c>
      <c r="H19" s="825">
        <f>F19</f>
        <v>26.813000000000002</v>
      </c>
      <c r="I19" s="677"/>
      <c r="J19" s="825"/>
      <c r="K19" s="903"/>
      <c r="L19" s="902"/>
      <c r="M19" s="903"/>
      <c r="N19" s="902"/>
      <c r="O19" s="231" t="s">
        <v>582</v>
      </c>
      <c r="P19" s="826"/>
      <c r="Q19" s="827" t="s">
        <v>479</v>
      </c>
      <c r="R19" s="826"/>
      <c r="S19" s="833"/>
    </row>
    <row r="20" spans="1:19">
      <c r="A20" s="901">
        <v>1.1100000000000001</v>
      </c>
      <c r="B20" s="654" t="s">
        <v>319</v>
      </c>
      <c r="C20" s="232" t="s">
        <v>1553</v>
      </c>
      <c r="D20" s="825">
        <f t="shared" si="0"/>
        <v>12.628163725122043</v>
      </c>
      <c r="E20" s="899" t="str">
        <f>'5.1.1. Обсяги робіт'!E105</f>
        <v>26,63</v>
      </c>
      <c r="F20" s="681">
        <f>'5.1.1. Обсяги робіт'!F105</f>
        <v>336.28800000000001</v>
      </c>
      <c r="G20" s="677"/>
      <c r="H20" s="825"/>
      <c r="I20" s="677"/>
      <c r="J20" s="825"/>
      <c r="K20" s="903"/>
      <c r="L20" s="902"/>
      <c r="M20" s="677">
        <v>26.63</v>
      </c>
      <c r="N20" s="825">
        <f>F20</f>
        <v>336.28800000000001</v>
      </c>
      <c r="O20" s="906" t="s">
        <v>582</v>
      </c>
      <c r="P20" s="826"/>
      <c r="Q20" s="827" t="s">
        <v>480</v>
      </c>
      <c r="R20" s="826"/>
      <c r="S20" s="826"/>
    </row>
    <row r="21" spans="1:19" ht="30">
      <c r="A21" s="901">
        <v>1.1200000000000001</v>
      </c>
      <c r="B21" s="654" t="s">
        <v>531</v>
      </c>
      <c r="C21" s="232" t="s">
        <v>209</v>
      </c>
      <c r="D21" s="825">
        <f t="shared" si="0"/>
        <v>283</v>
      </c>
      <c r="E21" s="905">
        <v>1</v>
      </c>
      <c r="F21" s="681">
        <f>'5.1.1. Обсяги робіт'!F119</f>
        <v>283</v>
      </c>
      <c r="G21" s="677"/>
      <c r="H21" s="825"/>
      <c r="I21" s="677"/>
      <c r="J21" s="825"/>
      <c r="K21" s="903"/>
      <c r="L21" s="902"/>
      <c r="M21" s="677">
        <v>1</v>
      </c>
      <c r="N21" s="825">
        <v>283</v>
      </c>
      <c r="O21" s="845" t="s">
        <v>88</v>
      </c>
      <c r="P21" s="826"/>
      <c r="Q21" s="827"/>
      <c r="R21" s="826"/>
      <c r="S21" s="826"/>
    </row>
    <row r="22" spans="1:19" ht="45">
      <c r="A22" s="901">
        <v>1.1299999999999999</v>
      </c>
      <c r="B22" s="654" t="s">
        <v>534</v>
      </c>
      <c r="C22" s="232" t="s">
        <v>209</v>
      </c>
      <c r="D22" s="825">
        <f t="shared" si="0"/>
        <v>500</v>
      </c>
      <c r="E22" s="905">
        <v>1</v>
      </c>
      <c r="F22" s="681">
        <f>'5.1.1. Обсяги робіт'!F168</f>
        <v>500</v>
      </c>
      <c r="G22" s="677"/>
      <c r="H22" s="825"/>
      <c r="I22" s="677"/>
      <c r="J22" s="825"/>
      <c r="K22" s="677">
        <v>1</v>
      </c>
      <c r="L22" s="825">
        <v>500</v>
      </c>
      <c r="M22" s="903"/>
      <c r="N22" s="902"/>
      <c r="O22" s="845" t="s">
        <v>88</v>
      </c>
      <c r="P22" s="826"/>
      <c r="Q22" s="827"/>
      <c r="R22" s="826"/>
      <c r="S22" s="826"/>
    </row>
    <row r="23" spans="1:19">
      <c r="A23" s="1331" t="s">
        <v>1509</v>
      </c>
      <c r="B23" s="1332"/>
      <c r="C23" s="1332"/>
      <c r="D23" s="1332"/>
      <c r="E23" s="1333"/>
      <c r="F23" s="834">
        <f>SUM(F10:F22)</f>
        <v>29794.479999999992</v>
      </c>
      <c r="G23" s="835"/>
      <c r="H23" s="836">
        <f>SUM(H10:H22)</f>
        <v>6256.5099601769916</v>
      </c>
      <c r="I23" s="837"/>
      <c r="J23" s="836">
        <f>SUM(J10:J22)</f>
        <v>4677.1811076696167</v>
      </c>
      <c r="K23" s="837"/>
      <c r="L23" s="836">
        <f>SUM(L10:L22)</f>
        <v>8347.5166563421808</v>
      </c>
      <c r="M23" s="837"/>
      <c r="N23" s="836">
        <f>SUM(N10:N22)</f>
        <v>10513.278477811211</v>
      </c>
      <c r="O23" s="838"/>
      <c r="P23" s="838"/>
      <c r="Q23" s="838"/>
      <c r="R23" s="838"/>
      <c r="S23" s="838"/>
    </row>
    <row r="24" spans="1:19">
      <c r="A24" s="1328" t="s">
        <v>1510</v>
      </c>
      <c r="B24" s="1329"/>
      <c r="C24" s="1329"/>
      <c r="D24" s="1329"/>
      <c r="E24" s="1329"/>
      <c r="F24" s="1329"/>
      <c r="G24" s="1329"/>
      <c r="H24" s="1329"/>
      <c r="I24" s="1329"/>
      <c r="J24" s="1329"/>
      <c r="K24" s="1329"/>
      <c r="L24" s="1329"/>
      <c r="M24" s="1329"/>
      <c r="N24" s="1329"/>
      <c r="O24" s="1329"/>
      <c r="P24" s="1329"/>
      <c r="Q24" s="1329"/>
      <c r="R24" s="1329"/>
      <c r="S24" s="1330"/>
    </row>
    <row r="25" spans="1:19" ht="30" customHeight="1">
      <c r="A25" s="1337" t="s">
        <v>237</v>
      </c>
      <c r="B25" s="1337"/>
      <c r="C25" s="1337"/>
      <c r="D25" s="826"/>
      <c r="E25" s="826"/>
      <c r="F25" s="826"/>
      <c r="G25" s="826"/>
      <c r="H25" s="826"/>
      <c r="I25" s="826"/>
      <c r="J25" s="826"/>
      <c r="K25" s="826"/>
      <c r="L25" s="826"/>
      <c r="M25" s="826"/>
      <c r="N25" s="826"/>
      <c r="O25" s="826"/>
      <c r="P25" s="826"/>
      <c r="Q25" s="826"/>
      <c r="R25" s="826"/>
      <c r="S25" s="826"/>
    </row>
    <row r="26" spans="1:19" ht="50.25" customHeight="1">
      <c r="A26" s="201">
        <v>2.1</v>
      </c>
      <c r="B26" s="655" t="s">
        <v>238</v>
      </c>
      <c r="C26" s="232" t="s">
        <v>209</v>
      </c>
      <c r="D26" s="825">
        <v>0.11899999999999999</v>
      </c>
      <c r="E26" s="677">
        <v>1997</v>
      </c>
      <c r="F26" s="681">
        <v>237.643</v>
      </c>
      <c r="G26" s="677">
        <v>148</v>
      </c>
      <c r="H26" s="825">
        <f>G26*D26</f>
        <v>17.611999999999998</v>
      </c>
      <c r="I26" s="677">
        <v>240</v>
      </c>
      <c r="J26" s="825">
        <f>I26*D26</f>
        <v>28.56</v>
      </c>
      <c r="K26" s="677">
        <v>854</v>
      </c>
      <c r="L26" s="825">
        <f>K26*D26</f>
        <v>101.62599999999999</v>
      </c>
      <c r="M26" s="677">
        <v>755</v>
      </c>
      <c r="N26" s="825">
        <f>M26*D26</f>
        <v>89.844999999999999</v>
      </c>
      <c r="O26" s="906" t="s">
        <v>546</v>
      </c>
      <c r="P26" s="344"/>
      <c r="Q26" s="1338" t="s">
        <v>481</v>
      </c>
      <c r="R26" s="829"/>
      <c r="S26" s="344"/>
    </row>
    <row r="27" spans="1:19" ht="45">
      <c r="A27" s="201">
        <v>2.2000000000000002</v>
      </c>
      <c r="B27" s="655" t="s">
        <v>239</v>
      </c>
      <c r="C27" s="232" t="s">
        <v>209</v>
      </c>
      <c r="D27" s="825">
        <v>0.38</v>
      </c>
      <c r="E27" s="677">
        <v>377</v>
      </c>
      <c r="F27" s="681">
        <v>143.26</v>
      </c>
      <c r="G27" s="677">
        <v>34</v>
      </c>
      <c r="H27" s="825">
        <f>G27*D27</f>
        <v>12.92</v>
      </c>
      <c r="I27" s="677">
        <v>33</v>
      </c>
      <c r="J27" s="825">
        <f>I27*D27</f>
        <v>12.540000000000001</v>
      </c>
      <c r="K27" s="677">
        <v>163</v>
      </c>
      <c r="L27" s="825">
        <f>K27*D27</f>
        <v>61.94</v>
      </c>
      <c r="M27" s="677">
        <v>147</v>
      </c>
      <c r="N27" s="825">
        <f>M27*D27</f>
        <v>55.86</v>
      </c>
      <c r="O27" s="906" t="s">
        <v>547</v>
      </c>
      <c r="P27" s="344"/>
      <c r="Q27" s="1339"/>
      <c r="R27" s="829"/>
      <c r="S27" s="344"/>
    </row>
    <row r="28" spans="1:19" ht="15" customHeight="1">
      <c r="A28" s="1334" t="s">
        <v>234</v>
      </c>
      <c r="B28" s="1334"/>
      <c r="C28" s="228"/>
      <c r="D28" s="839"/>
      <c r="E28" s="839"/>
      <c r="F28" s="840">
        <f>SUM(F26:F27)</f>
        <v>380.90300000000002</v>
      </c>
      <c r="G28" s="840"/>
      <c r="H28" s="840">
        <f t="shared" ref="H28:N28" si="1">SUM(H26:H27)</f>
        <v>30.531999999999996</v>
      </c>
      <c r="I28" s="840"/>
      <c r="J28" s="840">
        <f t="shared" si="1"/>
        <v>41.1</v>
      </c>
      <c r="K28" s="840"/>
      <c r="L28" s="840">
        <f t="shared" si="1"/>
        <v>163.56599999999997</v>
      </c>
      <c r="M28" s="840"/>
      <c r="N28" s="840">
        <f t="shared" si="1"/>
        <v>145.70499999999998</v>
      </c>
      <c r="O28" s="839"/>
      <c r="P28" s="839"/>
      <c r="Q28" s="839"/>
      <c r="R28" s="839"/>
      <c r="S28" s="839"/>
    </row>
    <row r="29" spans="1:19">
      <c r="A29" s="230" t="s">
        <v>240</v>
      </c>
      <c r="B29" s="230"/>
      <c r="C29" s="208"/>
      <c r="D29" s="344"/>
      <c r="E29" s="344"/>
      <c r="F29" s="344"/>
      <c r="G29" s="344"/>
      <c r="H29" s="344"/>
      <c r="I29" s="344"/>
      <c r="J29" s="344"/>
      <c r="K29" s="344"/>
      <c r="L29" s="344"/>
      <c r="M29" s="344"/>
      <c r="N29" s="344"/>
      <c r="O29" s="344"/>
      <c r="P29" s="344"/>
      <c r="Q29" s="344"/>
      <c r="R29" s="344"/>
      <c r="S29" s="344"/>
    </row>
    <row r="30" spans="1:19" ht="76.5" customHeight="1">
      <c r="A30" s="201">
        <v>2.2999999999999998</v>
      </c>
      <c r="B30" s="668" t="s">
        <v>241</v>
      </c>
      <c r="C30" s="232" t="s">
        <v>209</v>
      </c>
      <c r="D30" s="825">
        <v>0.12335</v>
      </c>
      <c r="E30" s="677">
        <v>21527</v>
      </c>
      <c r="F30" s="681">
        <v>2655.35545</v>
      </c>
      <c r="G30" s="677">
        <v>8200</v>
      </c>
      <c r="H30" s="825">
        <f>G30*D30</f>
        <v>1011.47</v>
      </c>
      <c r="I30" s="677">
        <v>3659</v>
      </c>
      <c r="J30" s="825">
        <f>I30*D30</f>
        <v>451.33765</v>
      </c>
      <c r="K30" s="677">
        <v>5600</v>
      </c>
      <c r="L30" s="825">
        <f>K30*D30</f>
        <v>690.76</v>
      </c>
      <c r="M30" s="677">
        <v>4068</v>
      </c>
      <c r="N30" s="825">
        <f>M30*D30</f>
        <v>501.7878</v>
      </c>
      <c r="O30" s="906" t="s">
        <v>548</v>
      </c>
      <c r="P30" s="841"/>
      <c r="Q30" s="1338" t="s">
        <v>482</v>
      </c>
      <c r="R30" s="829"/>
      <c r="S30" s="841"/>
    </row>
    <row r="31" spans="1:19" ht="30">
      <c r="A31" s="201">
        <v>2.4</v>
      </c>
      <c r="B31" s="656" t="s">
        <v>242</v>
      </c>
      <c r="C31" s="232" t="s">
        <v>209</v>
      </c>
      <c r="D31" s="825">
        <v>0.38</v>
      </c>
      <c r="E31" s="677">
        <v>3179</v>
      </c>
      <c r="F31" s="681">
        <v>1208.02</v>
      </c>
      <c r="G31" s="677">
        <v>1160</v>
      </c>
      <c r="H31" s="825">
        <f>G31*D31</f>
        <v>440.8</v>
      </c>
      <c r="I31" s="677">
        <v>615</v>
      </c>
      <c r="J31" s="825">
        <f>I31*D31</f>
        <v>233.7</v>
      </c>
      <c r="K31" s="677">
        <v>970</v>
      </c>
      <c r="L31" s="825">
        <f>K31*D31</f>
        <v>368.6</v>
      </c>
      <c r="M31" s="677">
        <v>434</v>
      </c>
      <c r="N31" s="825">
        <f>M31*D31</f>
        <v>164.92000000000002</v>
      </c>
      <c r="O31" s="906" t="s">
        <v>549</v>
      </c>
      <c r="P31" s="344"/>
      <c r="Q31" s="1339"/>
      <c r="R31" s="829"/>
      <c r="S31" s="344"/>
    </row>
    <row r="32" spans="1:19" ht="15" customHeight="1">
      <c r="A32" s="1334" t="s">
        <v>234</v>
      </c>
      <c r="B32" s="1334"/>
      <c r="C32" s="228"/>
      <c r="D32" s="839"/>
      <c r="E32" s="839"/>
      <c r="F32" s="842">
        <f>SUM(F30:F31)</f>
        <v>3863.37545</v>
      </c>
      <c r="G32" s="842"/>
      <c r="H32" s="842">
        <f t="shared" ref="H32:N32" si="2">SUM(H30:H31)</f>
        <v>1452.27</v>
      </c>
      <c r="I32" s="842"/>
      <c r="J32" s="842">
        <f t="shared" si="2"/>
        <v>685.03764999999999</v>
      </c>
      <c r="K32" s="842"/>
      <c r="L32" s="842">
        <f t="shared" si="2"/>
        <v>1059.3600000000001</v>
      </c>
      <c r="M32" s="842"/>
      <c r="N32" s="842">
        <f t="shared" si="2"/>
        <v>666.70780000000002</v>
      </c>
      <c r="O32" s="839"/>
      <c r="P32" s="839"/>
      <c r="Q32" s="839"/>
      <c r="R32" s="839"/>
      <c r="S32" s="839"/>
    </row>
    <row r="33" spans="1:19">
      <c r="A33" s="1340" t="s">
        <v>243</v>
      </c>
      <c r="B33" s="1341"/>
      <c r="C33" s="1342"/>
      <c r="D33" s="843"/>
      <c r="E33" s="843"/>
      <c r="F33" s="843"/>
      <c r="G33" s="843"/>
      <c r="H33" s="843"/>
      <c r="I33" s="843"/>
      <c r="J33" s="843"/>
      <c r="K33" s="843"/>
      <c r="L33" s="843"/>
      <c r="M33" s="843"/>
      <c r="N33" s="843"/>
      <c r="O33" s="843"/>
      <c r="P33" s="843"/>
      <c r="Q33" s="843"/>
      <c r="R33" s="843"/>
      <c r="S33" s="844"/>
    </row>
    <row r="34" spans="1:19" ht="48.75" customHeight="1">
      <c r="A34" s="231">
        <v>2.5</v>
      </c>
      <c r="B34" s="657" t="s">
        <v>246</v>
      </c>
      <c r="C34" s="232" t="s">
        <v>209</v>
      </c>
      <c r="D34" s="676">
        <v>0.28846153846153844</v>
      </c>
      <c r="E34" s="678">
        <v>2200</v>
      </c>
      <c r="F34" s="681">
        <v>634.61538461538453</v>
      </c>
      <c r="G34" s="677">
        <v>455</v>
      </c>
      <c r="H34" s="825">
        <f>D34*G34</f>
        <v>131.25</v>
      </c>
      <c r="I34" s="677">
        <v>390</v>
      </c>
      <c r="J34" s="825">
        <f>D34*I34</f>
        <v>112.49999999999999</v>
      </c>
      <c r="K34" s="677">
        <v>800</v>
      </c>
      <c r="L34" s="825">
        <f>K34*D34</f>
        <v>230.76923076923075</v>
      </c>
      <c r="M34" s="677">
        <v>555</v>
      </c>
      <c r="N34" s="825">
        <f>M34*D34</f>
        <v>160.09615384615384</v>
      </c>
      <c r="O34" s="906" t="s">
        <v>550</v>
      </c>
      <c r="P34" s="344"/>
      <c r="Q34" s="1338" t="s">
        <v>483</v>
      </c>
      <c r="R34" s="829"/>
      <c r="S34" s="344"/>
    </row>
    <row r="35" spans="1:19" ht="45">
      <c r="A35" s="231">
        <v>2.6</v>
      </c>
      <c r="B35" s="657" t="s">
        <v>247</v>
      </c>
      <c r="C35" s="232" t="s">
        <v>209</v>
      </c>
      <c r="D35" s="676">
        <v>0.54816100000000001</v>
      </c>
      <c r="E35" s="678">
        <v>1356</v>
      </c>
      <c r="F35" s="681">
        <v>743.30631600000004</v>
      </c>
      <c r="G35" s="677">
        <v>282</v>
      </c>
      <c r="H35" s="825">
        <f>D35*G35</f>
        <v>154.581402</v>
      </c>
      <c r="I35" s="677">
        <v>242</v>
      </c>
      <c r="J35" s="825">
        <f>D35*I35</f>
        <v>132.65496200000001</v>
      </c>
      <c r="K35" s="677">
        <v>500</v>
      </c>
      <c r="L35" s="825">
        <f>K35*D35</f>
        <v>274.08050000000003</v>
      </c>
      <c r="M35" s="677">
        <v>332</v>
      </c>
      <c r="N35" s="825">
        <f>M35*D35</f>
        <v>181.989452</v>
      </c>
      <c r="O35" s="845" t="s">
        <v>551</v>
      </c>
      <c r="P35" s="344"/>
      <c r="Q35" s="1339"/>
      <c r="R35" s="829"/>
      <c r="S35" s="344"/>
    </row>
    <row r="36" spans="1:19" ht="15" customHeight="1">
      <c r="A36" s="1334" t="s">
        <v>234</v>
      </c>
      <c r="B36" s="1334"/>
      <c r="C36" s="228"/>
      <c r="D36" s="839"/>
      <c r="E36" s="839"/>
      <c r="F36" s="842">
        <f>SUM(F34:F35)</f>
        <v>1377.9217006153845</v>
      </c>
      <c r="G36" s="846"/>
      <c r="H36" s="842">
        <f>SUM(H34:H35)</f>
        <v>285.83140200000003</v>
      </c>
      <c r="I36" s="842"/>
      <c r="J36" s="842">
        <f>SUM(J34:J35)</f>
        <v>245.15496200000001</v>
      </c>
      <c r="K36" s="842"/>
      <c r="L36" s="842">
        <f>SUM(L34:L35)</f>
        <v>504.84973076923075</v>
      </c>
      <c r="M36" s="842"/>
      <c r="N36" s="842">
        <f>SUM(N34:N35)</f>
        <v>342.08560584615384</v>
      </c>
      <c r="O36" s="839"/>
      <c r="P36" s="839"/>
      <c r="Q36" s="839"/>
      <c r="R36" s="839"/>
      <c r="S36" s="839"/>
    </row>
    <row r="37" spans="1:19" ht="30.75" customHeight="1">
      <c r="A37" s="1335" t="s">
        <v>244</v>
      </c>
      <c r="B37" s="1336"/>
      <c r="C37" s="209"/>
      <c r="D37" s="826"/>
      <c r="E37" s="826"/>
      <c r="F37" s="826"/>
      <c r="G37" s="826"/>
      <c r="H37" s="826"/>
      <c r="I37" s="826"/>
      <c r="J37" s="826"/>
      <c r="K37" s="826"/>
      <c r="L37" s="826"/>
      <c r="M37" s="826"/>
      <c r="N37" s="826"/>
      <c r="O37" s="826"/>
      <c r="P37" s="826"/>
      <c r="Q37" s="847"/>
      <c r="R37" s="826"/>
      <c r="S37" s="826"/>
    </row>
    <row r="38" spans="1:19" ht="30">
      <c r="A38" s="201">
        <v>2.7</v>
      </c>
      <c r="B38" s="658" t="s">
        <v>245</v>
      </c>
      <c r="C38" s="232" t="s">
        <v>209</v>
      </c>
      <c r="D38" s="676">
        <f>F38/E38</f>
        <v>11.058857142857143</v>
      </c>
      <c r="E38" s="677">
        <v>70</v>
      </c>
      <c r="F38" s="848">
        <v>774.12</v>
      </c>
      <c r="G38" s="677"/>
      <c r="H38" s="677"/>
      <c r="I38" s="677"/>
      <c r="J38" s="677"/>
      <c r="K38" s="677">
        <v>70</v>
      </c>
      <c r="L38" s="677">
        <f>F38</f>
        <v>774.12</v>
      </c>
      <c r="M38" s="677"/>
      <c r="N38" s="677"/>
      <c r="O38" s="231" t="s">
        <v>583</v>
      </c>
      <c r="P38" s="344"/>
      <c r="Q38" s="827" t="s">
        <v>484</v>
      </c>
      <c r="R38" s="344"/>
      <c r="S38" s="344"/>
    </row>
    <row r="39" spans="1:19" ht="15" customHeight="1">
      <c r="A39" s="1334" t="s">
        <v>234</v>
      </c>
      <c r="B39" s="1334"/>
      <c r="C39" s="228"/>
      <c r="D39" s="839"/>
      <c r="E39" s="839"/>
      <c r="F39" s="842">
        <f>F38</f>
        <v>774.12</v>
      </c>
      <c r="G39" s="842"/>
      <c r="H39" s="842">
        <f t="shared" ref="H39:N39" si="3">H38</f>
        <v>0</v>
      </c>
      <c r="I39" s="842"/>
      <c r="J39" s="842">
        <f t="shared" si="3"/>
        <v>0</v>
      </c>
      <c r="K39" s="842"/>
      <c r="L39" s="842">
        <f t="shared" si="3"/>
        <v>774.12</v>
      </c>
      <c r="M39" s="842"/>
      <c r="N39" s="842">
        <f t="shared" si="3"/>
        <v>0</v>
      </c>
      <c r="O39" s="846"/>
      <c r="P39" s="846"/>
      <c r="Q39" s="846"/>
      <c r="R39" s="846"/>
      <c r="S39" s="846"/>
    </row>
    <row r="40" spans="1:19">
      <c r="A40" s="1343" t="s">
        <v>1511</v>
      </c>
      <c r="B40" s="1344"/>
      <c r="C40" s="1344"/>
      <c r="D40" s="1344"/>
      <c r="E40" s="1345"/>
      <c r="F40" s="834">
        <f>F28+F32+F36+F39</f>
        <v>6396.3201506153846</v>
      </c>
      <c r="G40" s="834"/>
      <c r="H40" s="834">
        <f t="shared" ref="H40:N40" si="4">H28+H32+H36+H39</f>
        <v>1768.6334019999999</v>
      </c>
      <c r="I40" s="834"/>
      <c r="J40" s="834">
        <f t="shared" si="4"/>
        <v>971.29261199999996</v>
      </c>
      <c r="K40" s="834"/>
      <c r="L40" s="834">
        <f t="shared" si="4"/>
        <v>2501.8957307692308</v>
      </c>
      <c r="M40" s="834"/>
      <c r="N40" s="834">
        <f t="shared" si="4"/>
        <v>1154.4984058461539</v>
      </c>
      <c r="O40" s="838"/>
      <c r="P40" s="838"/>
      <c r="Q40" s="838"/>
      <c r="R40" s="838"/>
      <c r="S40" s="838"/>
    </row>
    <row r="41" spans="1:19">
      <c r="A41" s="1328" t="s">
        <v>1512</v>
      </c>
      <c r="B41" s="1329"/>
      <c r="C41" s="1329"/>
      <c r="D41" s="1329"/>
      <c r="E41" s="1329"/>
      <c r="F41" s="1329"/>
      <c r="G41" s="1329"/>
      <c r="H41" s="1329"/>
      <c r="I41" s="1329"/>
      <c r="J41" s="1329"/>
      <c r="K41" s="1329"/>
      <c r="L41" s="1329"/>
      <c r="M41" s="1329"/>
      <c r="N41" s="1329"/>
      <c r="O41" s="1329"/>
      <c r="P41" s="1329"/>
      <c r="Q41" s="1329"/>
      <c r="R41" s="1329"/>
      <c r="S41" s="1330"/>
    </row>
    <row r="42" spans="1:19">
      <c r="A42" s="1331" t="s">
        <v>1513</v>
      </c>
      <c r="B42" s="1332"/>
      <c r="C42" s="1332"/>
      <c r="D42" s="1332"/>
      <c r="E42" s="1333"/>
      <c r="F42" s="836">
        <v>0</v>
      </c>
      <c r="G42" s="836"/>
      <c r="H42" s="836">
        <v>0</v>
      </c>
      <c r="I42" s="836"/>
      <c r="J42" s="836">
        <v>0</v>
      </c>
      <c r="K42" s="836"/>
      <c r="L42" s="836">
        <v>0</v>
      </c>
      <c r="M42" s="836"/>
      <c r="N42" s="836">
        <v>0</v>
      </c>
      <c r="O42" s="838"/>
      <c r="P42" s="838"/>
      <c r="Q42" s="838"/>
      <c r="R42" s="838"/>
      <c r="S42" s="838"/>
    </row>
    <row r="43" spans="1:19">
      <c r="A43" s="1328" t="s">
        <v>1514</v>
      </c>
      <c r="B43" s="1329"/>
      <c r="C43" s="1329"/>
      <c r="D43" s="1329"/>
      <c r="E43" s="1329"/>
      <c r="F43" s="1329"/>
      <c r="G43" s="1329"/>
      <c r="H43" s="1329"/>
      <c r="I43" s="1329"/>
      <c r="J43" s="1329"/>
      <c r="K43" s="1329"/>
      <c r="L43" s="1329"/>
      <c r="M43" s="1329"/>
      <c r="N43" s="1329"/>
      <c r="O43" s="1329"/>
      <c r="P43" s="1329"/>
      <c r="Q43" s="1329"/>
      <c r="R43" s="1329"/>
      <c r="S43" s="1330"/>
    </row>
    <row r="44" spans="1:19">
      <c r="A44" s="1346" t="s">
        <v>232</v>
      </c>
      <c r="B44" s="1347"/>
      <c r="C44" s="1347"/>
      <c r="D44" s="1348"/>
      <c r="E44" s="843"/>
      <c r="F44" s="843"/>
      <c r="G44" s="843"/>
      <c r="H44" s="843"/>
      <c r="I44" s="843"/>
      <c r="J44" s="843"/>
      <c r="K44" s="843"/>
      <c r="L44" s="843"/>
      <c r="M44" s="843"/>
      <c r="N44" s="843"/>
      <c r="O44" s="843"/>
      <c r="P44" s="843"/>
      <c r="Q44" s="843"/>
      <c r="R44" s="843"/>
      <c r="S44" s="844"/>
    </row>
    <row r="45" spans="1:19">
      <c r="A45" s="849">
        <v>4.0999999999999996</v>
      </c>
      <c r="B45" s="659" t="s">
        <v>232</v>
      </c>
      <c r="C45" s="191" t="s">
        <v>209</v>
      </c>
      <c r="D45" s="850">
        <f>F45/E45</f>
        <v>5.1102999999999996</v>
      </c>
      <c r="E45" s="851">
        <v>18</v>
      </c>
      <c r="F45" s="852">
        <v>91.985399999999998</v>
      </c>
      <c r="G45" s="853">
        <v>18</v>
      </c>
      <c r="H45" s="854">
        <v>91.985399999999998</v>
      </c>
      <c r="I45" s="853"/>
      <c r="J45" s="854"/>
      <c r="K45" s="853"/>
      <c r="L45" s="853"/>
      <c r="M45" s="853"/>
      <c r="N45" s="853"/>
      <c r="O45" s="231" t="s">
        <v>583</v>
      </c>
      <c r="P45" s="335"/>
      <c r="Q45" s="1338" t="s">
        <v>485</v>
      </c>
      <c r="R45" s="829"/>
      <c r="S45" s="335"/>
    </row>
    <row r="46" spans="1:19">
      <c r="A46" s="849">
        <v>4.2</v>
      </c>
      <c r="B46" s="659" t="s">
        <v>233</v>
      </c>
      <c r="C46" s="191" t="s">
        <v>209</v>
      </c>
      <c r="D46" s="850">
        <f>F46/E46</f>
        <v>6.8330000000000002</v>
      </c>
      <c r="E46" s="851">
        <v>10</v>
      </c>
      <c r="F46" s="852">
        <v>68.33</v>
      </c>
      <c r="G46" s="853">
        <v>10</v>
      </c>
      <c r="H46" s="853">
        <v>68.33</v>
      </c>
      <c r="I46" s="853"/>
      <c r="J46" s="853"/>
      <c r="K46" s="853"/>
      <c r="L46" s="854"/>
      <c r="M46" s="853"/>
      <c r="N46" s="853"/>
      <c r="O46" s="231" t="s">
        <v>583</v>
      </c>
      <c r="P46" s="335"/>
      <c r="Q46" s="1339"/>
      <c r="R46" s="829"/>
      <c r="S46" s="335"/>
    </row>
    <row r="47" spans="1:19">
      <c r="A47" s="1334" t="s">
        <v>234</v>
      </c>
      <c r="B47" s="1334"/>
      <c r="C47" s="228"/>
      <c r="D47" s="839"/>
      <c r="E47" s="839"/>
      <c r="F47" s="842">
        <f>SUM(F45:F46)</f>
        <v>160.31540000000001</v>
      </c>
      <c r="G47" s="842"/>
      <c r="H47" s="842">
        <f>SUM(H45:H46)</f>
        <v>160.31540000000001</v>
      </c>
      <c r="I47" s="842"/>
      <c r="J47" s="842">
        <f>SUM(J45:J46)</f>
        <v>0</v>
      </c>
      <c r="K47" s="842"/>
      <c r="L47" s="842">
        <f>SUM(L45:L46)</f>
        <v>0</v>
      </c>
      <c r="M47" s="842"/>
      <c r="N47" s="842">
        <f>SUM(N45:N46)</f>
        <v>0</v>
      </c>
      <c r="O47" s="839"/>
      <c r="P47" s="839"/>
      <c r="Q47" s="839"/>
      <c r="R47" s="839"/>
      <c r="S47" s="839"/>
    </row>
    <row r="48" spans="1:19">
      <c r="A48" s="1346" t="s">
        <v>235</v>
      </c>
      <c r="B48" s="1348"/>
      <c r="C48" s="335"/>
      <c r="D48" s="335"/>
      <c r="E48" s="335"/>
      <c r="F48" s="335"/>
      <c r="G48" s="335"/>
      <c r="H48" s="335"/>
      <c r="I48" s="335"/>
      <c r="J48" s="335"/>
      <c r="K48" s="335"/>
      <c r="L48" s="335"/>
      <c r="M48" s="335"/>
      <c r="N48" s="335"/>
      <c r="O48" s="335"/>
      <c r="P48" s="335"/>
      <c r="Q48" s="335"/>
      <c r="R48" s="335"/>
      <c r="S48" s="335"/>
    </row>
    <row r="49" spans="1:19">
      <c r="A49" s="855">
        <v>4.3</v>
      </c>
      <c r="B49" s="856" t="s">
        <v>575</v>
      </c>
      <c r="C49" s="191" t="s">
        <v>209</v>
      </c>
      <c r="D49" s="812">
        <v>77.95</v>
      </c>
      <c r="E49" s="857">
        <v>1</v>
      </c>
      <c r="F49" s="852">
        <v>77.95</v>
      </c>
      <c r="G49" s="853">
        <f>E49</f>
        <v>1</v>
      </c>
      <c r="H49" s="854">
        <f>F49</f>
        <v>77.95</v>
      </c>
      <c r="I49" s="853"/>
      <c r="J49" s="853"/>
      <c r="K49" s="853"/>
      <c r="L49" s="853"/>
      <c r="M49" s="853"/>
      <c r="N49" s="853"/>
      <c r="O49" s="231" t="s">
        <v>583</v>
      </c>
      <c r="P49" s="858"/>
      <c r="Q49" s="1338" t="s">
        <v>486</v>
      </c>
      <c r="R49" s="827"/>
      <c r="S49" s="858"/>
    </row>
    <row r="50" spans="1:19">
      <c r="A50" s="855">
        <v>4.4000000000000004</v>
      </c>
      <c r="B50" s="660" t="s">
        <v>290</v>
      </c>
      <c r="C50" s="191" t="s">
        <v>209</v>
      </c>
      <c r="D50" s="680">
        <v>2325.5</v>
      </c>
      <c r="E50" s="857">
        <v>1</v>
      </c>
      <c r="F50" s="852">
        <v>2325.5</v>
      </c>
      <c r="G50" s="853"/>
      <c r="H50" s="854">
        <v>1506.5325</v>
      </c>
      <c r="I50" s="853"/>
      <c r="J50" s="853"/>
      <c r="K50" s="853"/>
      <c r="L50" s="854">
        <v>818.96749999999997</v>
      </c>
      <c r="M50" s="859"/>
      <c r="N50" s="859"/>
      <c r="O50" s="231" t="s">
        <v>583</v>
      </c>
      <c r="P50" s="858"/>
      <c r="Q50" s="1339"/>
      <c r="R50" s="827"/>
      <c r="S50" s="858"/>
    </row>
    <row r="51" spans="1:19" ht="30">
      <c r="A51" s="860">
        <v>4.5</v>
      </c>
      <c r="B51" s="669" t="s">
        <v>315</v>
      </c>
      <c r="C51" s="232" t="s">
        <v>209</v>
      </c>
      <c r="D51" s="812">
        <f>F51/E51</f>
        <v>207.40700000000001</v>
      </c>
      <c r="E51" s="857">
        <v>1</v>
      </c>
      <c r="F51" s="681">
        <v>207.40700000000001</v>
      </c>
      <c r="G51" s="677">
        <v>1</v>
      </c>
      <c r="H51" s="825">
        <f>F51</f>
        <v>207.40700000000001</v>
      </c>
      <c r="I51" s="677"/>
      <c r="J51" s="677"/>
      <c r="K51" s="859"/>
      <c r="L51" s="859"/>
      <c r="M51" s="677"/>
      <c r="N51" s="825"/>
      <c r="O51" s="231" t="s">
        <v>583</v>
      </c>
      <c r="P51" s="858"/>
      <c r="Q51" s="827" t="s">
        <v>487</v>
      </c>
      <c r="R51" s="827"/>
      <c r="S51" s="858"/>
    </row>
    <row r="52" spans="1:19">
      <c r="A52" s="1334" t="s">
        <v>234</v>
      </c>
      <c r="B52" s="1334"/>
      <c r="C52" s="228"/>
      <c r="D52" s="839"/>
      <c r="E52" s="839"/>
      <c r="F52" s="842">
        <f>SUM(F49:F51)</f>
        <v>2610.857</v>
      </c>
      <c r="G52" s="842"/>
      <c r="H52" s="842">
        <f>SUM(H49:H51)</f>
        <v>1791.8895</v>
      </c>
      <c r="I52" s="842"/>
      <c r="J52" s="842">
        <f>SUM(J49:J50)</f>
        <v>0</v>
      </c>
      <c r="K52" s="842"/>
      <c r="L52" s="842">
        <f>SUM(L49:L51)</f>
        <v>818.96749999999997</v>
      </c>
      <c r="M52" s="842"/>
      <c r="N52" s="842">
        <f>SUM(N49:N50)</f>
        <v>0</v>
      </c>
      <c r="O52" s="839"/>
      <c r="P52" s="839"/>
      <c r="Q52" s="839"/>
      <c r="R52" s="839"/>
      <c r="S52" s="839"/>
    </row>
    <row r="53" spans="1:19">
      <c r="A53" s="1349" t="s">
        <v>1515</v>
      </c>
      <c r="B53" s="1349"/>
      <c r="C53" s="1349"/>
      <c r="D53" s="1349"/>
      <c r="E53" s="1349"/>
      <c r="F53" s="834">
        <f>F47+F52</f>
        <v>2771.1723999999999</v>
      </c>
      <c r="G53" s="834"/>
      <c r="H53" s="834">
        <f>H47+H52</f>
        <v>1952.2049</v>
      </c>
      <c r="I53" s="834"/>
      <c r="J53" s="834">
        <f>J47+J52</f>
        <v>0</v>
      </c>
      <c r="K53" s="834"/>
      <c r="L53" s="834">
        <f>L47+L52</f>
        <v>818.96749999999997</v>
      </c>
      <c r="M53" s="834"/>
      <c r="N53" s="834">
        <f>N47+N52</f>
        <v>0</v>
      </c>
      <c r="O53" s="838"/>
      <c r="P53" s="838"/>
      <c r="Q53" s="838"/>
      <c r="R53" s="838"/>
      <c r="S53" s="838"/>
    </row>
    <row r="54" spans="1:19">
      <c r="A54" s="1328" t="s">
        <v>1516</v>
      </c>
      <c r="B54" s="1329"/>
      <c r="C54" s="1329"/>
      <c r="D54" s="1329"/>
      <c r="E54" s="1329"/>
      <c r="F54" s="1329"/>
      <c r="G54" s="1329"/>
      <c r="H54" s="1329"/>
      <c r="I54" s="1329"/>
      <c r="J54" s="1329"/>
      <c r="K54" s="1329"/>
      <c r="L54" s="1329"/>
      <c r="M54" s="1329"/>
      <c r="N54" s="1329"/>
      <c r="O54" s="1329"/>
      <c r="P54" s="1329"/>
      <c r="Q54" s="1329"/>
      <c r="R54" s="1329"/>
      <c r="S54" s="1330"/>
    </row>
    <row r="55" spans="1:19" ht="31.5" customHeight="1">
      <c r="A55" s="849">
        <v>5.0999999999999996</v>
      </c>
      <c r="B55" s="856" t="s">
        <v>231</v>
      </c>
      <c r="C55" s="232" t="s">
        <v>209</v>
      </c>
      <c r="D55" s="861">
        <v>90.6</v>
      </c>
      <c r="E55" s="851">
        <v>1</v>
      </c>
      <c r="F55" s="681">
        <f>D55*E55</f>
        <v>90.6</v>
      </c>
      <c r="G55" s="677">
        <v>1</v>
      </c>
      <c r="H55" s="677">
        <v>90.6</v>
      </c>
      <c r="I55" s="677"/>
      <c r="J55" s="677"/>
      <c r="K55" s="677"/>
      <c r="L55" s="677"/>
      <c r="M55" s="677"/>
      <c r="N55" s="677"/>
      <c r="O55" s="231" t="s">
        <v>583</v>
      </c>
      <c r="P55" s="344"/>
      <c r="Q55" s="827" t="s">
        <v>487</v>
      </c>
      <c r="R55" s="677"/>
      <c r="S55" s="344"/>
    </row>
    <row r="56" spans="1:19">
      <c r="A56" s="1349" t="s">
        <v>1517</v>
      </c>
      <c r="B56" s="1349"/>
      <c r="C56" s="1349"/>
      <c r="D56" s="1349"/>
      <c r="E56" s="1349"/>
      <c r="F56" s="836">
        <f>SUM(F55:F55)</f>
        <v>90.6</v>
      </c>
      <c r="G56" s="836"/>
      <c r="H56" s="836">
        <f>SUM(H55:H55)</f>
        <v>90.6</v>
      </c>
      <c r="I56" s="836"/>
      <c r="J56" s="836">
        <f>SUM(J55:J55)</f>
        <v>0</v>
      </c>
      <c r="K56" s="836"/>
      <c r="L56" s="836">
        <f>SUM(L55:L55)</f>
        <v>0</v>
      </c>
      <c r="M56" s="836"/>
      <c r="N56" s="836">
        <f>SUM(N55:N55)</f>
        <v>0</v>
      </c>
      <c r="O56" s="838"/>
      <c r="P56" s="838"/>
      <c r="Q56" s="838"/>
      <c r="R56" s="838"/>
      <c r="S56" s="838"/>
    </row>
    <row r="57" spans="1:19" ht="15" customHeight="1">
      <c r="A57" s="1350" t="s">
        <v>1518</v>
      </c>
      <c r="B57" s="1351"/>
      <c r="C57" s="1351"/>
      <c r="D57" s="1351"/>
      <c r="E57" s="1351"/>
      <c r="F57" s="1351"/>
      <c r="G57" s="1351"/>
      <c r="H57" s="1351"/>
      <c r="I57" s="1351"/>
      <c r="J57" s="1351"/>
      <c r="K57" s="1351"/>
      <c r="L57" s="1351"/>
      <c r="M57" s="1351"/>
      <c r="N57" s="1351"/>
      <c r="O57" s="1351"/>
      <c r="P57" s="1351"/>
      <c r="Q57" s="1351"/>
      <c r="R57" s="1351"/>
      <c r="S57" s="1352"/>
    </row>
    <row r="58" spans="1:19" ht="30">
      <c r="A58" s="862">
        <v>6.1</v>
      </c>
      <c r="B58" s="863" t="s">
        <v>291</v>
      </c>
      <c r="C58" s="232" t="s">
        <v>209</v>
      </c>
      <c r="D58" s="825">
        <v>551.66999999999996</v>
      </c>
      <c r="E58" s="677">
        <v>2</v>
      </c>
      <c r="F58" s="864">
        <f>D58*E58</f>
        <v>1103.3399999999999</v>
      </c>
      <c r="G58" s="677"/>
      <c r="H58" s="677"/>
      <c r="I58" s="677">
        <f>E58</f>
        <v>2</v>
      </c>
      <c r="J58" s="825">
        <f>F58</f>
        <v>1103.3399999999999</v>
      </c>
      <c r="K58" s="853"/>
      <c r="L58" s="853"/>
      <c r="M58" s="853"/>
      <c r="N58" s="853"/>
      <c r="O58" s="231" t="s">
        <v>583</v>
      </c>
      <c r="P58" s="865"/>
      <c r="Q58" s="1338" t="s">
        <v>488</v>
      </c>
      <c r="R58" s="677"/>
      <c r="S58" s="865"/>
    </row>
    <row r="59" spans="1:19">
      <c r="A59" s="862">
        <v>6.2</v>
      </c>
      <c r="B59" s="866" t="s">
        <v>292</v>
      </c>
      <c r="C59" s="232" t="s">
        <v>209</v>
      </c>
      <c r="D59" s="825">
        <v>408.13</v>
      </c>
      <c r="E59" s="677">
        <v>3</v>
      </c>
      <c r="F59" s="681">
        <f>D59*E59</f>
        <v>1224.3899999999999</v>
      </c>
      <c r="G59" s="677">
        <f>E59</f>
        <v>3</v>
      </c>
      <c r="H59" s="825">
        <f>F59</f>
        <v>1224.3899999999999</v>
      </c>
      <c r="I59" s="677"/>
      <c r="J59" s="677"/>
      <c r="K59" s="853"/>
      <c r="L59" s="853"/>
      <c r="M59" s="853"/>
      <c r="N59" s="853"/>
      <c r="O59" s="231" t="s">
        <v>583</v>
      </c>
      <c r="P59" s="865"/>
      <c r="Q59" s="1339"/>
      <c r="R59" s="677"/>
      <c r="S59" s="865"/>
    </row>
    <row r="60" spans="1:19">
      <c r="A60" s="1349" t="s">
        <v>1519</v>
      </c>
      <c r="B60" s="1349"/>
      <c r="C60" s="1349"/>
      <c r="D60" s="1349"/>
      <c r="E60" s="1349"/>
      <c r="F60" s="834">
        <f>SUM(F58:F59)</f>
        <v>2327.7299999999996</v>
      </c>
      <c r="G60" s="835"/>
      <c r="H60" s="834">
        <f>SUM(H58:H59)</f>
        <v>1224.3899999999999</v>
      </c>
      <c r="I60" s="835"/>
      <c r="J60" s="834">
        <f>SUM(J58:J59)</f>
        <v>1103.3399999999999</v>
      </c>
      <c r="K60" s="835"/>
      <c r="L60" s="834">
        <f>SUM(L58:L59)</f>
        <v>0</v>
      </c>
      <c r="M60" s="835"/>
      <c r="N60" s="867">
        <f>SUM(N58:N59)</f>
        <v>0</v>
      </c>
      <c r="O60" s="838"/>
      <c r="P60" s="838"/>
      <c r="Q60" s="838"/>
      <c r="R60" s="838"/>
      <c r="S60" s="838"/>
    </row>
    <row r="61" spans="1:19">
      <c r="A61" s="1328" t="s">
        <v>1520</v>
      </c>
      <c r="B61" s="1329"/>
      <c r="C61" s="1329"/>
      <c r="D61" s="1329"/>
      <c r="E61" s="1329"/>
      <c r="F61" s="1329"/>
      <c r="G61" s="1329"/>
      <c r="H61" s="1329"/>
      <c r="I61" s="1329"/>
      <c r="J61" s="1329"/>
      <c r="K61" s="1329"/>
      <c r="L61" s="1329"/>
      <c r="M61" s="1329"/>
      <c r="N61" s="1329"/>
      <c r="O61" s="1329"/>
      <c r="P61" s="1329"/>
      <c r="Q61" s="1329"/>
      <c r="R61" s="1329"/>
      <c r="S61" s="1330"/>
    </row>
    <row r="62" spans="1:19" ht="30">
      <c r="A62" s="201">
        <v>7.1</v>
      </c>
      <c r="B62" s="657" t="s">
        <v>221</v>
      </c>
      <c r="C62" s="232" t="s">
        <v>209</v>
      </c>
      <c r="D62" s="682">
        <v>12.74</v>
      </c>
      <c r="E62" s="677">
        <v>5</v>
      </c>
      <c r="F62" s="681">
        <f>D62*E62</f>
        <v>63.7</v>
      </c>
      <c r="G62" s="677">
        <v>5</v>
      </c>
      <c r="H62" s="677">
        <v>63.7</v>
      </c>
      <c r="I62" s="677"/>
      <c r="J62" s="677"/>
      <c r="K62" s="677"/>
      <c r="L62" s="677"/>
      <c r="M62" s="853"/>
      <c r="N62" s="853"/>
      <c r="O62" s="231" t="s">
        <v>583</v>
      </c>
      <c r="P62" s="826"/>
      <c r="Q62" s="827" t="s">
        <v>488</v>
      </c>
      <c r="R62" s="827"/>
      <c r="S62" s="826"/>
    </row>
    <row r="63" spans="1:19" ht="14.45" customHeight="1">
      <c r="A63" s="1349" t="s">
        <v>1521</v>
      </c>
      <c r="B63" s="1349"/>
      <c r="C63" s="1349"/>
      <c r="D63" s="1349"/>
      <c r="E63" s="1349"/>
      <c r="F63" s="836">
        <f>SUM(F62:F62)</f>
        <v>63.7</v>
      </c>
      <c r="G63" s="835"/>
      <c r="H63" s="836">
        <f>SUM(H62:H62)</f>
        <v>63.7</v>
      </c>
      <c r="I63" s="835"/>
      <c r="J63" s="836">
        <f>SUM(J62:J62)</f>
        <v>0</v>
      </c>
      <c r="K63" s="835"/>
      <c r="L63" s="836">
        <f>SUM(L62:L62)</f>
        <v>0</v>
      </c>
      <c r="M63" s="835"/>
      <c r="N63" s="836">
        <f>SUM(N62:N62)</f>
        <v>0</v>
      </c>
      <c r="O63" s="838"/>
      <c r="P63" s="838"/>
      <c r="Q63" s="838"/>
      <c r="R63" s="838"/>
      <c r="S63" s="838"/>
    </row>
    <row r="64" spans="1:19" ht="14.45" customHeight="1">
      <c r="A64" s="1353" t="s">
        <v>134</v>
      </c>
      <c r="B64" s="1353"/>
      <c r="C64" s="1353"/>
      <c r="D64" s="1353"/>
      <c r="E64" s="1353"/>
      <c r="F64" s="868">
        <f>F23+F40+F42+F53+F56+F60+F63</f>
        <v>41444.002550615376</v>
      </c>
      <c r="G64" s="868"/>
      <c r="H64" s="868">
        <f t="shared" ref="H64:N64" si="5">H23+H40+H42+H53+H56+H60+H63</f>
        <v>11356.038262176993</v>
      </c>
      <c r="I64" s="868"/>
      <c r="J64" s="868">
        <f t="shared" si="5"/>
        <v>6751.8137196696171</v>
      </c>
      <c r="K64" s="868"/>
      <c r="L64" s="868">
        <f t="shared" si="5"/>
        <v>11668.379887111412</v>
      </c>
      <c r="M64" s="868"/>
      <c r="N64" s="868">
        <f t="shared" si="5"/>
        <v>11667.776883657365</v>
      </c>
      <c r="O64" s="869"/>
      <c r="P64" s="869"/>
      <c r="Q64" s="869"/>
      <c r="R64" s="869"/>
      <c r="S64" s="869"/>
    </row>
    <row r="65" spans="1:20" ht="19.5" customHeight="1">
      <c r="H65" s="870"/>
      <c r="I65" s="870"/>
      <c r="J65" s="870"/>
      <c r="K65" s="870"/>
      <c r="L65" s="870"/>
      <c r="M65" s="870"/>
      <c r="N65" s="870"/>
    </row>
    <row r="66" spans="1:20">
      <c r="A66" s="1354" t="s">
        <v>207</v>
      </c>
      <c r="B66" s="1354"/>
      <c r="C66" s="1354"/>
      <c r="D66" s="1354"/>
      <c r="E66" s="1354"/>
      <c r="F66" s="1354"/>
      <c r="G66" s="1354"/>
      <c r="H66" s="1354"/>
      <c r="I66" s="1354"/>
      <c r="J66" s="1354"/>
      <c r="K66" s="1354"/>
      <c r="L66" s="1354"/>
      <c r="M66" s="1354"/>
      <c r="N66" s="1354"/>
      <c r="O66" s="1354"/>
      <c r="P66" s="1354"/>
      <c r="Q66" s="1354"/>
      <c r="R66" s="1354"/>
      <c r="S66" s="1354"/>
      <c r="T66" s="1354"/>
    </row>
    <row r="67" spans="1:20" ht="15" customHeight="1"/>
    <row r="68" spans="1:20">
      <c r="B68" s="211" t="s">
        <v>248</v>
      </c>
      <c r="C68" s="212"/>
      <c r="D68" s="212"/>
      <c r="E68" s="212"/>
      <c r="F68" s="213"/>
      <c r="G68" s="1355" t="s">
        <v>249</v>
      </c>
      <c r="H68" s="1355"/>
      <c r="I68" s="1355"/>
      <c r="J68" s="1355"/>
      <c r="K68" s="1355"/>
    </row>
    <row r="69" spans="1:20">
      <c r="B69" s="214" t="s">
        <v>250</v>
      </c>
      <c r="C69" s="212"/>
      <c r="D69" s="212"/>
      <c r="E69" s="212"/>
      <c r="F69" s="212"/>
      <c r="G69" s="957" t="s">
        <v>143</v>
      </c>
      <c r="H69" s="957"/>
      <c r="I69" s="957"/>
      <c r="J69" s="957"/>
      <c r="K69" s="957"/>
    </row>
    <row r="70" spans="1:20">
      <c r="B70" s="214"/>
      <c r="C70" s="212"/>
      <c r="D70" s="212"/>
      <c r="E70" s="212"/>
      <c r="F70" s="212"/>
      <c r="G70" s="212"/>
      <c r="H70" s="212"/>
      <c r="I70" s="212"/>
    </row>
    <row r="71" spans="1:20">
      <c r="B71" s="215" t="s">
        <v>1791</v>
      </c>
      <c r="C71" s="212"/>
      <c r="D71" s="212"/>
      <c r="E71" s="212"/>
      <c r="F71" s="212"/>
      <c r="G71" s="212"/>
      <c r="H71" s="212"/>
      <c r="I71" s="212"/>
    </row>
    <row r="72" spans="1:20">
      <c r="B72" s="216" t="s">
        <v>12</v>
      </c>
      <c r="C72" s="217"/>
      <c r="D72" s="217"/>
      <c r="E72" s="217"/>
      <c r="F72" s="217"/>
      <c r="G72" s="217"/>
      <c r="H72" s="217"/>
      <c r="I72" s="218"/>
    </row>
  </sheetData>
  <sheetProtection insertRows="0" deleteRows="0"/>
  <mergeCells count="53">
    <mergeCell ref="A63:E63"/>
    <mergeCell ref="A64:E64"/>
    <mergeCell ref="A66:T66"/>
    <mergeCell ref="G68:K68"/>
    <mergeCell ref="G69:K69"/>
    <mergeCell ref="A61:S61"/>
    <mergeCell ref="A42:E42"/>
    <mergeCell ref="A43:S43"/>
    <mergeCell ref="A44:D44"/>
    <mergeCell ref="A47:B47"/>
    <mergeCell ref="A48:B48"/>
    <mergeCell ref="A52:B52"/>
    <mergeCell ref="Q45:Q46"/>
    <mergeCell ref="Q58:Q59"/>
    <mergeCell ref="A53:E53"/>
    <mergeCell ref="A54:S54"/>
    <mergeCell ref="A56:E56"/>
    <mergeCell ref="A57:S57"/>
    <mergeCell ref="A60:E60"/>
    <mergeCell ref="Q49:Q50"/>
    <mergeCell ref="Q30:Q31"/>
    <mergeCell ref="Q26:Q27"/>
    <mergeCell ref="Q34:Q35"/>
    <mergeCell ref="A33:C33"/>
    <mergeCell ref="A40:E40"/>
    <mergeCell ref="K6:L6"/>
    <mergeCell ref="M6:N6"/>
    <mergeCell ref="A41:S41"/>
    <mergeCell ref="A9:S9"/>
    <mergeCell ref="A23:E23"/>
    <mergeCell ref="A36:B36"/>
    <mergeCell ref="A37:B37"/>
    <mergeCell ref="A39:B39"/>
    <mergeCell ref="A24:S24"/>
    <mergeCell ref="A25:C25"/>
    <mergeCell ref="A28:B28"/>
    <mergeCell ref="A32:B32"/>
    <mergeCell ref="A4:S4"/>
    <mergeCell ref="A5:A7"/>
    <mergeCell ref="B5:B7"/>
    <mergeCell ref="C5:C7"/>
    <mergeCell ref="D5:D7"/>
    <mergeCell ref="E5:F5"/>
    <mergeCell ref="G5:N5"/>
    <mergeCell ref="S5:S7"/>
    <mergeCell ref="E6:E7"/>
    <mergeCell ref="F6:F7"/>
    <mergeCell ref="G6:H6"/>
    <mergeCell ref="I6:J6"/>
    <mergeCell ref="O5:O7"/>
    <mergeCell ref="P5:P7"/>
    <mergeCell ref="Q5:Q7"/>
    <mergeCell ref="R5:R7"/>
  </mergeCells>
  <phoneticPr fontId="2" type="noConversion"/>
  <pageMargins left="0.62992125984251968" right="0.23622047244094491" top="0.59055118110236227" bottom="0.31496062992125984" header="0.15748031496062992" footer="0.19685039370078741"/>
  <pageSetup paperSize="9" scale="58" orientation="landscape" r:id="rId1"/>
  <headerFooter alignWithMargins="0"/>
  <rowBreaks count="1" manualBreakCount="1">
    <brk id="28" max="18" man="1"/>
  </rowBreaks>
  <colBreaks count="1" manualBreakCount="1">
    <brk id="19" max="1048575" man="1"/>
  </colBreaks>
</worksheet>
</file>

<file path=xl/worksheets/sheet33.xml><?xml version="1.0" encoding="utf-8"?>
<worksheet xmlns="http://schemas.openxmlformats.org/spreadsheetml/2006/main" xmlns:r="http://schemas.openxmlformats.org/officeDocument/2006/relationships">
  <sheetPr codeName="Лист33"/>
  <dimension ref="A1:K39"/>
  <sheetViews>
    <sheetView zoomScaleNormal="100" workbookViewId="0">
      <selection activeCell="F1" sqref="F1:L3"/>
    </sheetView>
  </sheetViews>
  <sheetFormatPr defaultRowHeight="12.75"/>
  <cols>
    <col min="1" max="1" width="4.28515625" style="10" customWidth="1"/>
    <col min="2" max="2" width="19.5703125" style="10" customWidth="1"/>
    <col min="3" max="3" width="11.140625" style="10" customWidth="1"/>
    <col min="4" max="4" width="16.28515625" style="10" customWidth="1"/>
    <col min="5" max="5" width="10.7109375" style="10" customWidth="1"/>
    <col min="6" max="6" width="11.42578125" style="10" customWidth="1"/>
    <col min="7" max="7" width="13.85546875" style="10" customWidth="1"/>
    <col min="8" max="8" width="14" style="10" customWidth="1"/>
    <col min="9" max="9" width="15" style="10" customWidth="1"/>
    <col min="10" max="10" width="18" style="10" customWidth="1"/>
    <col min="11" max="11" width="11.42578125" style="10" customWidth="1"/>
    <col min="12" max="16384" width="9.140625" style="10"/>
  </cols>
  <sheetData>
    <row r="1" spans="1:11" s="94" customFormat="1" ht="18" customHeight="1">
      <c r="A1" s="97"/>
      <c r="B1" s="97"/>
      <c r="C1" s="97"/>
      <c r="D1" s="97"/>
      <c r="E1" s="97"/>
      <c r="F1" s="156"/>
      <c r="G1" s="97"/>
      <c r="H1" s="97"/>
      <c r="I1" s="97"/>
      <c r="J1" s="97"/>
      <c r="K1" s="97"/>
    </row>
    <row r="2" spans="1:11" s="94" customFormat="1" ht="15.75">
      <c r="A2" s="97"/>
      <c r="B2" s="97"/>
      <c r="C2" s="146"/>
      <c r="D2" s="97"/>
      <c r="E2" s="97"/>
      <c r="F2" s="97"/>
      <c r="G2" s="97"/>
      <c r="H2" s="97"/>
      <c r="I2" s="97"/>
      <c r="J2" s="959"/>
      <c r="K2" s="959"/>
    </row>
    <row r="3" spans="1:11" s="94" customFormat="1" ht="15.75" customHeight="1">
      <c r="A3" s="97"/>
      <c r="B3" s="97"/>
      <c r="C3" s="35"/>
      <c r="D3" s="35"/>
      <c r="E3" s="97"/>
      <c r="F3" s="97"/>
      <c r="G3" s="97"/>
      <c r="H3" s="97"/>
      <c r="I3" s="97"/>
      <c r="J3" s="97"/>
      <c r="K3" s="97"/>
    </row>
    <row r="4" spans="1:11" s="14" customFormat="1" ht="21" customHeight="1">
      <c r="A4" s="1358" t="s">
        <v>1748</v>
      </c>
      <c r="B4" s="1359"/>
      <c r="C4" s="1359"/>
      <c r="D4" s="1359"/>
      <c r="E4" s="1359"/>
      <c r="F4" s="1359"/>
      <c r="G4" s="1359"/>
      <c r="H4" s="1359"/>
      <c r="I4" s="1359"/>
      <c r="J4" s="1359"/>
      <c r="K4" s="1360"/>
    </row>
    <row r="5" spans="1:11" s="14" customFormat="1" ht="15" customHeight="1">
      <c r="A5" s="1221" t="s">
        <v>1531</v>
      </c>
      <c r="B5" s="1221" t="s">
        <v>1549</v>
      </c>
      <c r="C5" s="1221" t="s">
        <v>1550</v>
      </c>
      <c r="D5" s="1221" t="s">
        <v>1440</v>
      </c>
      <c r="E5" s="1356" t="s">
        <v>14</v>
      </c>
      <c r="F5" s="1357"/>
      <c r="G5" s="1203"/>
      <c r="H5" s="1221" t="s">
        <v>1551</v>
      </c>
      <c r="I5" s="1361" t="s">
        <v>1686</v>
      </c>
      <c r="J5" s="1361" t="s">
        <v>1523</v>
      </c>
      <c r="K5" s="1221" t="s">
        <v>1584</v>
      </c>
    </row>
    <row r="6" spans="1:11" s="14" customFormat="1" ht="28.5" customHeight="1">
      <c r="A6" s="1221"/>
      <c r="B6" s="1221"/>
      <c r="C6" s="1221"/>
      <c r="D6" s="1221"/>
      <c r="E6" s="1221" t="s">
        <v>1545</v>
      </c>
      <c r="F6" s="1221" t="s">
        <v>85</v>
      </c>
      <c r="G6" s="1361" t="s">
        <v>208</v>
      </c>
      <c r="H6" s="1221"/>
      <c r="I6" s="1362"/>
      <c r="J6" s="1362"/>
      <c r="K6" s="1221"/>
    </row>
    <row r="7" spans="1:11" s="14" customFormat="1" ht="33" customHeight="1">
      <c r="A7" s="1221"/>
      <c r="B7" s="1221"/>
      <c r="C7" s="1221"/>
      <c r="D7" s="1221"/>
      <c r="E7" s="1221"/>
      <c r="F7" s="1221"/>
      <c r="G7" s="1363"/>
      <c r="H7" s="1221"/>
      <c r="I7" s="1363"/>
      <c r="J7" s="1363"/>
      <c r="K7" s="1221"/>
    </row>
    <row r="8" spans="1:11" s="14" customFormat="1" ht="12.75" customHeight="1">
      <c r="A8" s="39">
        <v>1</v>
      </c>
      <c r="B8" s="39">
        <v>2</v>
      </c>
      <c r="C8" s="39">
        <v>3</v>
      </c>
      <c r="D8" s="39">
        <v>4</v>
      </c>
      <c r="E8" s="39">
        <v>5</v>
      </c>
      <c r="F8" s="39">
        <v>6</v>
      </c>
      <c r="G8" s="39">
        <v>7</v>
      </c>
      <c r="H8" s="39">
        <v>8</v>
      </c>
      <c r="I8" s="39">
        <v>9</v>
      </c>
      <c r="J8" s="39">
        <v>10</v>
      </c>
      <c r="K8" s="39">
        <v>11</v>
      </c>
    </row>
    <row r="9" spans="1:11" ht="14.25">
      <c r="A9" s="1365" t="s">
        <v>1508</v>
      </c>
      <c r="B9" s="1366"/>
      <c r="C9" s="1366"/>
      <c r="D9" s="1366"/>
      <c r="E9" s="1366"/>
      <c r="F9" s="1366"/>
      <c r="G9" s="1366"/>
      <c r="H9" s="1366"/>
      <c r="I9" s="1366"/>
      <c r="J9" s="1366"/>
      <c r="K9" s="1367"/>
    </row>
    <row r="10" spans="1:11" ht="15">
      <c r="A10" s="65"/>
      <c r="B10" s="65"/>
      <c r="C10" s="65"/>
      <c r="D10" s="65"/>
      <c r="E10" s="65"/>
      <c r="F10" s="65"/>
      <c r="G10" s="65"/>
      <c r="H10" s="65"/>
      <c r="I10" s="65"/>
      <c r="J10" s="65"/>
      <c r="K10" s="65"/>
    </row>
    <row r="11" spans="1:11" ht="15">
      <c r="A11" s="66"/>
      <c r="B11" s="65"/>
      <c r="C11" s="65"/>
      <c r="D11" s="65"/>
      <c r="E11" s="65"/>
      <c r="F11" s="65"/>
      <c r="G11" s="65"/>
      <c r="H11" s="65"/>
      <c r="I11" s="65"/>
      <c r="J11" s="65"/>
      <c r="K11" s="65"/>
    </row>
    <row r="12" spans="1:11" ht="12.75" customHeight="1">
      <c r="A12" s="1368" t="s">
        <v>1509</v>
      </c>
      <c r="B12" s="1369"/>
      <c r="C12" s="1369"/>
      <c r="D12" s="1369"/>
      <c r="E12" s="1370"/>
      <c r="F12" s="71"/>
      <c r="G12" s="71"/>
      <c r="H12" s="72"/>
      <c r="I12" s="72"/>
      <c r="J12" s="72"/>
      <c r="K12" s="72"/>
    </row>
    <row r="13" spans="1:11" ht="14.25">
      <c r="A13" s="1365" t="s">
        <v>1510</v>
      </c>
      <c r="B13" s="1366"/>
      <c r="C13" s="1366"/>
      <c r="D13" s="1366"/>
      <c r="E13" s="1366"/>
      <c r="F13" s="1366"/>
      <c r="G13" s="1366"/>
      <c r="H13" s="1366"/>
      <c r="I13" s="1366"/>
      <c r="J13" s="1366"/>
      <c r="K13" s="1367"/>
    </row>
    <row r="14" spans="1:11" ht="15">
      <c r="A14" s="65"/>
      <c r="B14" s="65"/>
      <c r="C14" s="65"/>
      <c r="D14" s="65"/>
      <c r="E14" s="65"/>
      <c r="F14" s="65"/>
      <c r="G14" s="65"/>
      <c r="H14" s="65"/>
      <c r="I14" s="65"/>
      <c r="J14" s="65"/>
      <c r="K14" s="65"/>
    </row>
    <row r="15" spans="1:11" ht="15">
      <c r="A15" s="66"/>
      <c r="B15" s="65"/>
      <c r="C15" s="65"/>
      <c r="D15" s="65"/>
      <c r="E15" s="65"/>
      <c r="F15" s="65"/>
      <c r="G15" s="65"/>
      <c r="H15" s="65"/>
      <c r="I15" s="65"/>
      <c r="J15" s="65"/>
      <c r="K15" s="65"/>
    </row>
    <row r="16" spans="1:11" ht="12.75" customHeight="1">
      <c r="A16" s="1371" t="s">
        <v>1511</v>
      </c>
      <c r="B16" s="1372"/>
      <c r="C16" s="1372"/>
      <c r="D16" s="1372"/>
      <c r="E16" s="1373"/>
      <c r="F16" s="71"/>
      <c r="G16" s="71"/>
      <c r="H16" s="72"/>
      <c r="I16" s="72"/>
      <c r="J16" s="72"/>
      <c r="K16" s="72"/>
    </row>
    <row r="17" spans="1:11" ht="14.25">
      <c r="A17" s="1365" t="s">
        <v>1512</v>
      </c>
      <c r="B17" s="1366"/>
      <c r="C17" s="1366"/>
      <c r="D17" s="1366"/>
      <c r="E17" s="1366"/>
      <c r="F17" s="1366"/>
      <c r="G17" s="1366"/>
      <c r="H17" s="1366"/>
      <c r="I17" s="1366"/>
      <c r="J17" s="1366"/>
      <c r="K17" s="1367"/>
    </row>
    <row r="18" spans="1:11" s="145" customFormat="1" ht="15">
      <c r="A18" s="73"/>
      <c r="B18" s="74"/>
      <c r="C18" s="75"/>
      <c r="D18" s="76"/>
      <c r="E18" s="77"/>
      <c r="F18" s="78"/>
      <c r="G18" s="78"/>
      <c r="H18" s="39"/>
      <c r="I18" s="39"/>
      <c r="J18" s="39"/>
      <c r="K18" s="39"/>
    </row>
    <row r="19" spans="1:11" s="145" customFormat="1" ht="15">
      <c r="A19" s="66"/>
      <c r="B19" s="74"/>
      <c r="C19" s="75"/>
      <c r="D19" s="76"/>
      <c r="E19" s="77"/>
      <c r="F19" s="78"/>
      <c r="G19" s="78"/>
      <c r="H19" s="39"/>
      <c r="I19" s="39"/>
      <c r="J19" s="39"/>
      <c r="K19" s="39"/>
    </row>
    <row r="20" spans="1:11" ht="14.25">
      <c r="A20" s="1368" t="s">
        <v>1513</v>
      </c>
      <c r="B20" s="1369"/>
      <c r="C20" s="1369"/>
      <c r="D20" s="1369"/>
      <c r="E20" s="1370"/>
      <c r="F20" s="71"/>
      <c r="G20" s="71"/>
      <c r="H20" s="72"/>
      <c r="I20" s="72"/>
      <c r="J20" s="72"/>
      <c r="K20" s="72"/>
    </row>
    <row r="21" spans="1:11" ht="14.25">
      <c r="A21" s="1365" t="s">
        <v>1514</v>
      </c>
      <c r="B21" s="1366"/>
      <c r="C21" s="1366"/>
      <c r="D21" s="1366"/>
      <c r="E21" s="1366"/>
      <c r="F21" s="1366"/>
      <c r="G21" s="1366"/>
      <c r="H21" s="1366"/>
      <c r="I21" s="1366"/>
      <c r="J21" s="1366"/>
      <c r="K21" s="1367"/>
    </row>
    <row r="22" spans="1:11" ht="14.25">
      <c r="A22" s="79"/>
      <c r="B22" s="67"/>
      <c r="C22" s="68"/>
      <c r="D22" s="69"/>
      <c r="E22" s="70"/>
      <c r="F22" s="71"/>
      <c r="G22" s="71"/>
      <c r="H22" s="72"/>
      <c r="I22" s="72"/>
      <c r="J22" s="72"/>
      <c r="K22" s="72"/>
    </row>
    <row r="23" spans="1:11" ht="14.25">
      <c r="A23" s="66"/>
      <c r="B23" s="67"/>
      <c r="C23" s="68"/>
      <c r="D23" s="69"/>
      <c r="E23" s="70"/>
      <c r="F23" s="71"/>
      <c r="G23" s="71"/>
      <c r="H23" s="72"/>
      <c r="I23" s="72"/>
      <c r="J23" s="72"/>
      <c r="K23" s="72"/>
    </row>
    <row r="24" spans="1:11" ht="14.25">
      <c r="A24" s="1364" t="s">
        <v>1515</v>
      </c>
      <c r="B24" s="1364"/>
      <c r="C24" s="1364"/>
      <c r="D24" s="1364"/>
      <c r="E24" s="1364"/>
      <c r="F24" s="71"/>
      <c r="G24" s="71"/>
      <c r="H24" s="72"/>
      <c r="I24" s="72"/>
      <c r="J24" s="72"/>
      <c r="K24" s="72"/>
    </row>
    <row r="25" spans="1:11" ht="14.25">
      <c r="A25" s="1365" t="s">
        <v>1516</v>
      </c>
      <c r="B25" s="1366"/>
      <c r="C25" s="1366"/>
      <c r="D25" s="1366"/>
      <c r="E25" s="1366"/>
      <c r="F25" s="1366"/>
      <c r="G25" s="1366"/>
      <c r="H25" s="1366"/>
      <c r="I25" s="1366"/>
      <c r="J25" s="1366"/>
      <c r="K25" s="1367"/>
    </row>
    <row r="26" spans="1:11" ht="14.25">
      <c r="A26" s="79"/>
      <c r="B26" s="67"/>
      <c r="C26" s="68"/>
      <c r="D26" s="69"/>
      <c r="E26" s="70"/>
      <c r="F26" s="71"/>
      <c r="G26" s="71"/>
      <c r="H26" s="72"/>
      <c r="I26" s="72"/>
      <c r="J26" s="72"/>
      <c r="K26" s="72"/>
    </row>
    <row r="27" spans="1:11" ht="14.25">
      <c r="A27" s="66"/>
      <c r="B27" s="67"/>
      <c r="C27" s="68"/>
      <c r="D27" s="69"/>
      <c r="E27" s="70"/>
      <c r="F27" s="71"/>
      <c r="G27" s="71"/>
      <c r="H27" s="72"/>
      <c r="I27" s="72"/>
      <c r="J27" s="72"/>
      <c r="K27" s="72"/>
    </row>
    <row r="28" spans="1:11" ht="14.25">
      <c r="A28" s="1364" t="s">
        <v>1517</v>
      </c>
      <c r="B28" s="1364"/>
      <c r="C28" s="1364"/>
      <c r="D28" s="1364"/>
      <c r="E28" s="1364"/>
      <c r="F28" s="71"/>
      <c r="G28" s="71"/>
      <c r="H28" s="72"/>
      <c r="I28" s="72"/>
      <c r="J28" s="72"/>
      <c r="K28" s="72"/>
    </row>
    <row r="29" spans="1:11" ht="15" customHeight="1">
      <c r="A29" s="1365" t="s">
        <v>1518</v>
      </c>
      <c r="B29" s="1366"/>
      <c r="C29" s="1366"/>
      <c r="D29" s="1366"/>
      <c r="E29" s="1366"/>
      <c r="F29" s="1366"/>
      <c r="G29" s="1366"/>
      <c r="H29" s="1366"/>
      <c r="I29" s="1366"/>
      <c r="J29" s="1366"/>
      <c r="K29" s="1367"/>
    </row>
    <row r="30" spans="1:11" ht="15">
      <c r="A30" s="65"/>
      <c r="B30" s="65"/>
      <c r="C30" s="65"/>
      <c r="D30" s="65"/>
      <c r="E30" s="65"/>
      <c r="F30" s="65"/>
      <c r="G30" s="65"/>
      <c r="H30" s="65"/>
      <c r="I30" s="65"/>
      <c r="J30" s="65"/>
      <c r="K30" s="65"/>
    </row>
    <row r="31" spans="1:11" ht="15">
      <c r="A31" s="66"/>
      <c r="B31" s="65"/>
      <c r="C31" s="65"/>
      <c r="D31" s="65"/>
      <c r="E31" s="65"/>
      <c r="F31" s="65"/>
      <c r="G31" s="65"/>
      <c r="H31" s="65"/>
      <c r="I31" s="65"/>
      <c r="J31" s="65"/>
      <c r="K31" s="65"/>
    </row>
    <row r="32" spans="1:11" ht="12.75" customHeight="1">
      <c r="A32" s="1364" t="s">
        <v>1519</v>
      </c>
      <c r="B32" s="1364"/>
      <c r="C32" s="1364"/>
      <c r="D32" s="1364"/>
      <c r="E32" s="1364"/>
      <c r="F32" s="71"/>
      <c r="G32" s="71"/>
      <c r="H32" s="72"/>
      <c r="I32" s="72"/>
      <c r="J32" s="72"/>
      <c r="K32" s="72"/>
    </row>
    <row r="33" spans="1:11" ht="14.25">
      <c r="A33" s="1365" t="s">
        <v>1520</v>
      </c>
      <c r="B33" s="1366"/>
      <c r="C33" s="1366"/>
      <c r="D33" s="1366"/>
      <c r="E33" s="1366"/>
      <c r="F33" s="1366"/>
      <c r="G33" s="1366"/>
      <c r="H33" s="1366"/>
      <c r="I33" s="1366"/>
      <c r="J33" s="1366"/>
      <c r="K33" s="1367"/>
    </row>
    <row r="34" spans="1:11" s="145" customFormat="1" ht="15">
      <c r="A34" s="80"/>
      <c r="B34" s="74"/>
      <c r="C34" s="75"/>
      <c r="D34" s="76"/>
      <c r="E34" s="77"/>
      <c r="F34" s="78"/>
      <c r="G34" s="78"/>
      <c r="H34" s="39"/>
      <c r="I34" s="39"/>
      <c r="J34" s="39"/>
      <c r="K34" s="39"/>
    </row>
    <row r="35" spans="1:11" s="145" customFormat="1" ht="15">
      <c r="A35" s="66"/>
      <c r="B35" s="74"/>
      <c r="C35" s="75"/>
      <c r="D35" s="76"/>
      <c r="E35" s="77"/>
      <c r="F35" s="78"/>
      <c r="G35" s="78"/>
      <c r="H35" s="39"/>
      <c r="I35" s="39"/>
      <c r="J35" s="39"/>
      <c r="K35" s="39"/>
    </row>
    <row r="36" spans="1:11" ht="14.25">
      <c r="A36" s="1364" t="s">
        <v>1521</v>
      </c>
      <c r="B36" s="1364"/>
      <c r="C36" s="1364"/>
      <c r="D36" s="1364"/>
      <c r="E36" s="1364"/>
      <c r="F36" s="71"/>
      <c r="G36" s="71"/>
      <c r="H36" s="72"/>
      <c r="I36" s="72"/>
      <c r="J36" s="72"/>
      <c r="K36" s="72"/>
    </row>
    <row r="37" spans="1:11" ht="12.75" customHeight="1">
      <c r="A37" s="1364" t="s">
        <v>46</v>
      </c>
      <c r="B37" s="1364"/>
      <c r="C37" s="1364"/>
      <c r="D37" s="1364"/>
      <c r="E37" s="1364"/>
      <c r="F37" s="71"/>
      <c r="G37" s="71"/>
      <c r="H37" s="72"/>
      <c r="I37" s="72"/>
      <c r="J37" s="72"/>
      <c r="K37" s="72"/>
    </row>
    <row r="38" spans="1:11">
      <c r="A38" s="189"/>
      <c r="B38" s="189"/>
      <c r="C38" s="189"/>
      <c r="D38" s="189"/>
      <c r="E38" s="189"/>
      <c r="F38" s="189"/>
      <c r="G38" s="189"/>
      <c r="H38" s="189"/>
      <c r="I38" s="189"/>
      <c r="J38" s="189"/>
      <c r="K38" s="189"/>
    </row>
    <row r="39" spans="1:11">
      <c r="A39" s="189"/>
      <c r="B39" s="189"/>
      <c r="C39" s="189"/>
      <c r="D39" s="189"/>
      <c r="E39" s="189"/>
      <c r="F39" s="189"/>
      <c r="G39" s="189"/>
      <c r="H39" s="189"/>
      <c r="I39" s="189"/>
      <c r="J39" s="189"/>
      <c r="K39" s="189"/>
    </row>
  </sheetData>
  <mergeCells count="29">
    <mergeCell ref="A20:E20"/>
    <mergeCell ref="A21:K21"/>
    <mergeCell ref="A9:K9"/>
    <mergeCell ref="A12:E12"/>
    <mergeCell ref="A16:E16"/>
    <mergeCell ref="A17:K17"/>
    <mergeCell ref="A13:K13"/>
    <mergeCell ref="A37:E37"/>
    <mergeCell ref="A24:E24"/>
    <mergeCell ref="A25:K25"/>
    <mergeCell ref="A28:E28"/>
    <mergeCell ref="A29:K29"/>
    <mergeCell ref="A32:E32"/>
    <mergeCell ref="A33:K33"/>
    <mergeCell ref="A36:E36"/>
    <mergeCell ref="J2:K2"/>
    <mergeCell ref="K5:K7"/>
    <mergeCell ref="E6:E7"/>
    <mergeCell ref="F6:F7"/>
    <mergeCell ref="E5:G5"/>
    <mergeCell ref="A4:K4"/>
    <mergeCell ref="A5:A7"/>
    <mergeCell ref="B5:B7"/>
    <mergeCell ref="C5:C7"/>
    <mergeCell ref="D5:D7"/>
    <mergeCell ref="H5:H7"/>
    <mergeCell ref="I5:I7"/>
    <mergeCell ref="J5:J7"/>
    <mergeCell ref="G6:G7"/>
  </mergeCells>
  <phoneticPr fontId="2" type="noConversion"/>
  <pageMargins left="0.87" right="0.43307086614173229" top="0.44" bottom="0.23622047244094491" header="0.39370078740157483" footer="0.15748031496062992"/>
  <pageSetup paperSize="9" scale="88" orientation="landscape" r:id="rId1"/>
  <headerFooter alignWithMargins="0"/>
</worksheet>
</file>

<file path=xl/worksheets/sheet4.xml><?xml version="1.0" encoding="utf-8"?>
<worksheet xmlns="http://schemas.openxmlformats.org/spreadsheetml/2006/main" xmlns:r="http://schemas.openxmlformats.org/officeDocument/2006/relationships">
  <sheetPr codeName="Лист4">
    <tabColor rgb="FF00B0F0"/>
  </sheetPr>
  <dimension ref="A1:H15"/>
  <sheetViews>
    <sheetView view="pageBreakPreview" zoomScale="115" zoomScaleNormal="100" zoomScaleSheetLayoutView="115" workbookViewId="0">
      <selection activeCell="D13" sqref="D13"/>
    </sheetView>
  </sheetViews>
  <sheetFormatPr defaultRowHeight="12.75"/>
  <cols>
    <col min="1" max="1" width="26.85546875" style="1" customWidth="1"/>
    <col min="2" max="2" width="19.85546875" style="1" customWidth="1"/>
    <col min="3" max="4" width="21.42578125" style="1" customWidth="1"/>
    <col min="5" max="6" width="21.85546875" style="1" customWidth="1"/>
    <col min="7" max="16384" width="9.140625" style="1"/>
  </cols>
  <sheetData>
    <row r="1" spans="1:8" s="94" customFormat="1" ht="18.75">
      <c r="A1" s="97"/>
      <c r="B1" s="97"/>
      <c r="D1" s="173"/>
      <c r="E1" s="97"/>
      <c r="F1" s="97"/>
    </row>
    <row r="2" spans="1:8" s="94" customFormat="1" ht="15.75">
      <c r="A2" s="97"/>
      <c r="B2" s="97"/>
      <c r="C2" s="97"/>
      <c r="D2" s="97"/>
      <c r="E2" s="959"/>
      <c r="F2" s="959"/>
      <c r="G2" s="153"/>
      <c r="H2" s="153"/>
    </row>
    <row r="3" spans="1:8" s="94" customFormat="1" ht="15.75">
      <c r="A3" s="97"/>
      <c r="B3" s="97"/>
      <c r="C3" s="97"/>
      <c r="D3" s="154"/>
      <c r="E3" s="154"/>
      <c r="F3" s="154"/>
      <c r="G3" s="154"/>
      <c r="H3" s="153"/>
    </row>
    <row r="4" spans="1:8" ht="24" customHeight="1">
      <c r="A4" s="971" t="s">
        <v>1640</v>
      </c>
      <c r="B4" s="972"/>
      <c r="C4" s="972"/>
      <c r="D4" s="972"/>
      <c r="E4" s="972"/>
      <c r="F4" s="973"/>
    </row>
    <row r="5" spans="1:8" ht="40.5" customHeight="1">
      <c r="A5" s="37" t="s">
        <v>1441</v>
      </c>
      <c r="B5" s="200">
        <v>2014</v>
      </c>
      <c r="C5" s="200">
        <v>2015</v>
      </c>
      <c r="D5" s="200">
        <v>2016</v>
      </c>
      <c r="E5" s="200">
        <v>2017</v>
      </c>
      <c r="F5" s="200">
        <v>2018</v>
      </c>
    </row>
    <row r="6" spans="1:8" ht="17.25" customHeight="1">
      <c r="A6" s="61" t="s">
        <v>1611</v>
      </c>
      <c r="B6" s="672">
        <v>41444</v>
      </c>
      <c r="C6" s="672">
        <v>45588.4</v>
      </c>
      <c r="D6" s="672">
        <v>50147.240000000005</v>
      </c>
      <c r="E6" s="672">
        <v>55161.964000000007</v>
      </c>
      <c r="F6" s="672">
        <v>60678.160400000015</v>
      </c>
    </row>
    <row r="7" spans="1:8" ht="18" customHeight="1">
      <c r="A7" s="61" t="s">
        <v>1606</v>
      </c>
      <c r="B7" s="672">
        <v>0</v>
      </c>
      <c r="C7" s="672">
        <v>0</v>
      </c>
      <c r="D7" s="672">
        <v>0</v>
      </c>
      <c r="E7" s="672">
        <v>0</v>
      </c>
      <c r="F7" s="672">
        <v>0</v>
      </c>
    </row>
    <row r="8" spans="1:8" ht="17.25" customHeight="1">
      <c r="A8" s="61" t="s">
        <v>1607</v>
      </c>
      <c r="B8" s="672">
        <v>0</v>
      </c>
      <c r="C8" s="672">
        <v>0</v>
      </c>
      <c r="D8" s="672">
        <v>0</v>
      </c>
      <c r="E8" s="672">
        <v>0</v>
      </c>
      <c r="F8" s="672">
        <v>0</v>
      </c>
    </row>
    <row r="9" spans="1:8" ht="16.5" customHeight="1">
      <c r="A9" s="61" t="s">
        <v>1608</v>
      </c>
      <c r="B9" s="672">
        <v>0</v>
      </c>
      <c r="C9" s="672">
        <v>0</v>
      </c>
      <c r="D9" s="672">
        <v>0</v>
      </c>
      <c r="E9" s="672">
        <v>0</v>
      </c>
      <c r="F9" s="672">
        <v>0</v>
      </c>
    </row>
    <row r="10" spans="1:8" ht="16.5" customHeight="1">
      <c r="A10" s="61" t="s">
        <v>1609</v>
      </c>
      <c r="B10" s="672">
        <v>0</v>
      </c>
      <c r="C10" s="672">
        <v>0</v>
      </c>
      <c r="D10" s="672">
        <v>0</v>
      </c>
      <c r="E10" s="672">
        <v>0</v>
      </c>
      <c r="F10" s="672">
        <v>0</v>
      </c>
    </row>
    <row r="11" spans="1:8" ht="18" customHeight="1">
      <c r="A11" s="61" t="s">
        <v>1612</v>
      </c>
      <c r="B11" s="672">
        <v>0</v>
      </c>
      <c r="C11" s="672">
        <v>0</v>
      </c>
      <c r="D11" s="672">
        <v>0</v>
      </c>
      <c r="E11" s="672">
        <v>0</v>
      </c>
      <c r="F11" s="672">
        <v>0</v>
      </c>
    </row>
    <row r="12" spans="1:8" ht="17.25" customHeight="1">
      <c r="A12" s="251" t="s">
        <v>14</v>
      </c>
      <c r="B12" s="253">
        <v>41444</v>
      </c>
      <c r="C12" s="253">
        <v>45588.4</v>
      </c>
      <c r="D12" s="253">
        <v>50147.240000000005</v>
      </c>
      <c r="E12" s="253">
        <v>55161.964000000007</v>
      </c>
      <c r="F12" s="253">
        <v>60678.160400000015</v>
      </c>
    </row>
    <row r="13" spans="1:8">
      <c r="A13" s="127"/>
      <c r="B13" s="127"/>
      <c r="C13" s="127"/>
      <c r="D13" s="127"/>
      <c r="E13" s="127"/>
      <c r="F13" s="127"/>
    </row>
    <row r="14" spans="1:8" ht="15">
      <c r="A14" s="64"/>
      <c r="B14" s="171"/>
      <c r="C14" s="171"/>
      <c r="D14" s="171"/>
      <c r="E14" s="171"/>
      <c r="F14" s="171"/>
    </row>
    <row r="15" spans="1:8">
      <c r="A15" s="171"/>
      <c r="B15" s="171"/>
      <c r="C15" s="171"/>
      <c r="D15" s="171"/>
      <c r="E15" s="171"/>
      <c r="F15" s="171"/>
    </row>
  </sheetData>
  <mergeCells count="2">
    <mergeCell ref="A4:F4"/>
    <mergeCell ref="E2:F2"/>
  </mergeCells>
  <phoneticPr fontId="2" type="noConversion"/>
  <pageMargins left="0.66" right="0.55000000000000004" top="0.77" bottom="1" header="0.5" footer="0.5"/>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sheetPr codeName="Лист5">
    <tabColor rgb="FF00B0F0"/>
  </sheetPr>
  <dimension ref="A1:O70"/>
  <sheetViews>
    <sheetView view="pageBreakPreview" zoomScale="70" zoomScaleNormal="100" zoomScaleSheetLayoutView="70" zoomScalePageLayoutView="70" workbookViewId="0">
      <selection activeCell="J8" sqref="J8"/>
    </sheetView>
  </sheetViews>
  <sheetFormatPr defaultRowHeight="12.75"/>
  <cols>
    <col min="1" max="1" width="4.140625" style="1" customWidth="1"/>
    <col min="2" max="2" width="33" style="1" customWidth="1"/>
    <col min="3" max="3" width="9.28515625" style="1" customWidth="1"/>
    <col min="4" max="4" width="23.5703125" style="1" customWidth="1"/>
    <col min="5" max="5" width="22.85546875" style="1" customWidth="1"/>
    <col min="6" max="6" width="22" style="1" customWidth="1"/>
    <col min="7" max="16384" width="9.140625" style="1"/>
  </cols>
  <sheetData>
    <row r="1" spans="1:15" ht="22.5" customHeight="1">
      <c r="A1" s="974" t="s">
        <v>144</v>
      </c>
      <c r="B1" s="974"/>
      <c r="C1" s="974"/>
      <c r="D1" s="974"/>
      <c r="E1" s="974"/>
      <c r="F1" s="974"/>
      <c r="G1" s="4"/>
      <c r="H1" s="4"/>
      <c r="I1" s="4"/>
      <c r="J1" s="4"/>
      <c r="K1" s="4"/>
      <c r="L1" s="4"/>
      <c r="M1" s="4"/>
      <c r="N1" s="4"/>
      <c r="O1" s="4"/>
    </row>
    <row r="2" spans="1:15" ht="75" customHeight="1">
      <c r="A2" s="37" t="s">
        <v>1531</v>
      </c>
      <c r="B2" s="37" t="s">
        <v>89</v>
      </c>
      <c r="C2" s="37" t="s">
        <v>1550</v>
      </c>
      <c r="D2" s="41" t="s">
        <v>327</v>
      </c>
      <c r="E2" s="41" t="s">
        <v>328</v>
      </c>
      <c r="F2" s="944" t="s">
        <v>1771</v>
      </c>
    </row>
    <row r="3" spans="1:15" ht="13.5" customHeight="1">
      <c r="A3" s="239">
        <v>1</v>
      </c>
      <c r="B3" s="239">
        <v>2</v>
      </c>
      <c r="C3" s="239">
        <v>3</v>
      </c>
      <c r="D3" s="239">
        <v>4</v>
      </c>
      <c r="E3" s="239">
        <v>5</v>
      </c>
      <c r="F3" s="239">
        <v>6</v>
      </c>
    </row>
    <row r="4" spans="1:15" ht="15" customHeight="1">
      <c r="A4" s="975">
        <v>1</v>
      </c>
      <c r="B4" s="264" t="s">
        <v>35</v>
      </c>
      <c r="C4" s="976" t="s">
        <v>90</v>
      </c>
      <c r="D4" s="266">
        <v>1264.2</v>
      </c>
      <c r="E4" s="266">
        <f>SUM(E5:E8)</f>
        <v>61.52</v>
      </c>
      <c r="F4" s="266">
        <f>SUM(F5:F8)</f>
        <v>1264.2</v>
      </c>
    </row>
    <row r="5" spans="1:15" ht="13.5" customHeight="1">
      <c r="A5" s="975"/>
      <c r="B5" s="267" t="s">
        <v>15</v>
      </c>
      <c r="C5" s="976"/>
      <c r="D5" s="268">
        <v>1202.68</v>
      </c>
      <c r="E5" s="268">
        <v>0</v>
      </c>
      <c r="F5" s="268">
        <v>1264.2</v>
      </c>
    </row>
    <row r="6" spans="1:15" ht="13.5" customHeight="1">
      <c r="A6" s="975"/>
      <c r="B6" s="267" t="s">
        <v>1643</v>
      </c>
      <c r="C6" s="976"/>
      <c r="D6" s="269">
        <v>0</v>
      </c>
      <c r="E6" s="269">
        <v>0</v>
      </c>
      <c r="F6" s="269">
        <v>0</v>
      </c>
    </row>
    <row r="7" spans="1:15" ht="13.5" customHeight="1">
      <c r="A7" s="975"/>
      <c r="B7" s="270" t="s">
        <v>1641</v>
      </c>
      <c r="C7" s="976"/>
      <c r="D7" s="268">
        <v>61.52</v>
      </c>
      <c r="E7" s="268">
        <v>61.52</v>
      </c>
      <c r="F7" s="268">
        <v>0</v>
      </c>
    </row>
    <row r="8" spans="1:15" ht="13.5" customHeight="1">
      <c r="A8" s="975"/>
      <c r="B8" s="267" t="s">
        <v>1642</v>
      </c>
      <c r="C8" s="976"/>
      <c r="D8" s="269">
        <v>0</v>
      </c>
      <c r="E8" s="269">
        <v>0</v>
      </c>
      <c r="F8" s="269">
        <v>0</v>
      </c>
    </row>
    <row r="9" spans="1:15" ht="15" customHeight="1">
      <c r="A9" s="975">
        <v>2</v>
      </c>
      <c r="B9" s="264" t="s">
        <v>38</v>
      </c>
      <c r="C9" s="976" t="s">
        <v>90</v>
      </c>
      <c r="D9" s="266">
        <v>1500.55</v>
      </c>
      <c r="E9" s="266">
        <f>SUM(E10:E13)</f>
        <v>115.29</v>
      </c>
      <c r="F9" s="266">
        <f>SUM(F10:F13)</f>
        <v>1500.55</v>
      </c>
    </row>
    <row r="10" spans="1:15" ht="13.5" customHeight="1">
      <c r="A10" s="975"/>
      <c r="B10" s="267" t="s">
        <v>15</v>
      </c>
      <c r="C10" s="976"/>
      <c r="D10" s="268">
        <v>1385.26</v>
      </c>
      <c r="E10" s="268">
        <v>0</v>
      </c>
      <c r="F10" s="268">
        <v>1500.55</v>
      </c>
    </row>
    <row r="11" spans="1:15" ht="13.5" customHeight="1">
      <c r="A11" s="975"/>
      <c r="B11" s="267" t="s">
        <v>1643</v>
      </c>
      <c r="C11" s="976"/>
      <c r="D11" s="269">
        <v>0</v>
      </c>
      <c r="E11" s="269">
        <v>0</v>
      </c>
      <c r="F11" s="269">
        <v>0</v>
      </c>
    </row>
    <row r="12" spans="1:15" ht="13.5" customHeight="1">
      <c r="A12" s="975"/>
      <c r="B12" s="270" t="s">
        <v>1641</v>
      </c>
      <c r="C12" s="976"/>
      <c r="D12" s="268">
        <v>115.29</v>
      </c>
      <c r="E12" s="268">
        <v>115.29</v>
      </c>
      <c r="F12" s="268">
        <v>0</v>
      </c>
    </row>
    <row r="13" spans="1:15" ht="13.5" customHeight="1">
      <c r="A13" s="975"/>
      <c r="B13" s="267" t="s">
        <v>1642</v>
      </c>
      <c r="C13" s="976"/>
      <c r="D13" s="269">
        <v>0</v>
      </c>
      <c r="E13" s="269">
        <v>0</v>
      </c>
      <c r="F13" s="269">
        <v>0</v>
      </c>
    </row>
    <row r="14" spans="1:15" ht="15" customHeight="1">
      <c r="A14" s="975">
        <v>3</v>
      </c>
      <c r="B14" s="264" t="s">
        <v>39</v>
      </c>
      <c r="C14" s="976" t="s">
        <v>90</v>
      </c>
      <c r="D14" s="266">
        <v>9349.34</v>
      </c>
      <c r="E14" s="266">
        <f>SUM(E15:E18)</f>
        <v>943.3</v>
      </c>
      <c r="F14" s="266">
        <f>SUM(F15:F18)</f>
        <v>9355.130000000001</v>
      </c>
    </row>
    <row r="15" spans="1:15" ht="13.5" customHeight="1">
      <c r="A15" s="975"/>
      <c r="B15" s="267" t="s">
        <v>15</v>
      </c>
      <c r="C15" s="976"/>
      <c r="D15" s="268">
        <v>2244.7600000000002</v>
      </c>
      <c r="E15" s="271">
        <v>5.79</v>
      </c>
      <c r="F15" s="271">
        <f>D15+E14</f>
        <v>3188.0600000000004</v>
      </c>
    </row>
    <row r="16" spans="1:15" ht="13.5" customHeight="1">
      <c r="A16" s="975"/>
      <c r="B16" s="267" t="s">
        <v>1643</v>
      </c>
      <c r="C16" s="976"/>
      <c r="D16" s="269">
        <v>666.57</v>
      </c>
      <c r="E16" s="272">
        <v>0</v>
      </c>
      <c r="F16" s="273">
        <f>D16-E16</f>
        <v>666.57</v>
      </c>
    </row>
    <row r="17" spans="1:6" ht="13.5" customHeight="1">
      <c r="A17" s="975"/>
      <c r="B17" s="270" t="s">
        <v>1641</v>
      </c>
      <c r="C17" s="976"/>
      <c r="D17" s="269">
        <v>6410.25</v>
      </c>
      <c r="E17" s="272">
        <v>937.51</v>
      </c>
      <c r="F17" s="273">
        <f>D17-E17</f>
        <v>5472.74</v>
      </c>
    </row>
    <row r="18" spans="1:6" ht="13.5" customHeight="1">
      <c r="A18" s="975"/>
      <c r="B18" s="267" t="s">
        <v>1642</v>
      </c>
      <c r="C18" s="976"/>
      <c r="D18" s="269">
        <v>27.76</v>
      </c>
      <c r="E18" s="272">
        <v>0</v>
      </c>
      <c r="F18" s="273">
        <f>D18-E18</f>
        <v>27.76</v>
      </c>
    </row>
    <row r="19" spans="1:6" ht="15" customHeight="1">
      <c r="A19" s="975">
        <v>4</v>
      </c>
      <c r="B19" s="264" t="s">
        <v>40</v>
      </c>
      <c r="C19" s="976" t="s">
        <v>90</v>
      </c>
      <c r="D19" s="266">
        <v>13326.02</v>
      </c>
      <c r="E19" s="266">
        <f>SUM(E20:E23)</f>
        <v>643.93000000000006</v>
      </c>
      <c r="F19" s="266">
        <f>SUM(F20:F23)</f>
        <v>13329.87</v>
      </c>
    </row>
    <row r="20" spans="1:6" ht="13.5" customHeight="1">
      <c r="A20" s="975"/>
      <c r="B20" s="267" t="s">
        <v>15</v>
      </c>
      <c r="C20" s="976"/>
      <c r="D20" s="268">
        <v>2585.9299999999998</v>
      </c>
      <c r="E20" s="271">
        <v>3.85</v>
      </c>
      <c r="F20" s="271">
        <f>D20+E19</f>
        <v>3229.8599999999997</v>
      </c>
    </row>
    <row r="21" spans="1:6" ht="13.5" customHeight="1">
      <c r="A21" s="975"/>
      <c r="B21" s="267" t="s">
        <v>1643</v>
      </c>
      <c r="C21" s="976"/>
      <c r="D21" s="269">
        <v>1783.49</v>
      </c>
      <c r="E21" s="269">
        <v>71.849999999999994</v>
      </c>
      <c r="F21" s="273">
        <f>D21-E21</f>
        <v>1711.64</v>
      </c>
    </row>
    <row r="22" spans="1:6" ht="13.5" customHeight="1">
      <c r="A22" s="975"/>
      <c r="B22" s="270" t="s">
        <v>1641</v>
      </c>
      <c r="C22" s="976"/>
      <c r="D22" s="268">
        <v>8251.5400000000009</v>
      </c>
      <c r="E22" s="271">
        <v>568.23</v>
      </c>
      <c r="F22" s="273">
        <f>D22-E22</f>
        <v>7683.3100000000013</v>
      </c>
    </row>
    <row r="23" spans="1:6" ht="13.5" customHeight="1">
      <c r="A23" s="975"/>
      <c r="B23" s="267" t="s">
        <v>1642</v>
      </c>
      <c r="C23" s="976"/>
      <c r="D23" s="269">
        <v>705.06</v>
      </c>
      <c r="E23" s="269">
        <v>0</v>
      </c>
      <c r="F23" s="273">
        <f>D23-E23</f>
        <v>705.06</v>
      </c>
    </row>
    <row r="24" spans="1:6" ht="14.25">
      <c r="A24" s="975">
        <v>5</v>
      </c>
      <c r="B24" s="264" t="s">
        <v>42</v>
      </c>
      <c r="C24" s="977" t="s">
        <v>1553</v>
      </c>
      <c r="D24" s="266">
        <f>SUM(D25:D28)</f>
        <v>2.2999999999999998</v>
      </c>
      <c r="E24" s="266">
        <f>SUM(E25:E28)</f>
        <v>0</v>
      </c>
      <c r="F24" s="266">
        <f>SUM(F25:F28)</f>
        <v>2.2999999999999998</v>
      </c>
    </row>
    <row r="25" spans="1:6" ht="13.5" customHeight="1">
      <c r="A25" s="975"/>
      <c r="B25" s="267" t="s">
        <v>15</v>
      </c>
      <c r="C25" s="978"/>
      <c r="D25" s="268">
        <v>2.2999999999999998</v>
      </c>
      <c r="E25" s="271">
        <v>0</v>
      </c>
      <c r="F25" s="271">
        <v>2.2999999999999998</v>
      </c>
    </row>
    <row r="26" spans="1:6" ht="13.5" customHeight="1">
      <c r="A26" s="975"/>
      <c r="B26" s="267" t="s">
        <v>1643</v>
      </c>
      <c r="C26" s="978"/>
      <c r="D26" s="269">
        <v>0</v>
      </c>
      <c r="E26" s="272">
        <v>0</v>
      </c>
      <c r="F26" s="272">
        <v>0</v>
      </c>
    </row>
    <row r="27" spans="1:6" ht="13.5" customHeight="1">
      <c r="A27" s="975"/>
      <c r="B27" s="270" t="s">
        <v>1641</v>
      </c>
      <c r="C27" s="978"/>
      <c r="D27" s="268">
        <v>0</v>
      </c>
      <c r="E27" s="271">
        <v>0</v>
      </c>
      <c r="F27" s="271">
        <v>0</v>
      </c>
    </row>
    <row r="28" spans="1:6" ht="13.5" customHeight="1">
      <c r="A28" s="975"/>
      <c r="B28" s="267" t="s">
        <v>1642</v>
      </c>
      <c r="C28" s="978"/>
      <c r="D28" s="269">
        <v>0</v>
      </c>
      <c r="E28" s="272">
        <v>0</v>
      </c>
      <c r="F28" s="272">
        <v>0</v>
      </c>
    </row>
    <row r="29" spans="1:6" ht="13.5" customHeight="1">
      <c r="A29" s="975"/>
      <c r="B29" s="267" t="s">
        <v>204</v>
      </c>
      <c r="C29" s="979"/>
      <c r="D29" s="269">
        <v>0</v>
      </c>
      <c r="E29" s="272">
        <v>0</v>
      </c>
      <c r="F29" s="272">
        <v>0</v>
      </c>
    </row>
    <row r="30" spans="1:6" ht="14.25">
      <c r="A30" s="975">
        <v>6</v>
      </c>
      <c r="B30" s="264" t="s">
        <v>43</v>
      </c>
      <c r="C30" s="977" t="s">
        <v>1553</v>
      </c>
      <c r="D30" s="266">
        <f>SUM(D31:D34)</f>
        <v>891.64</v>
      </c>
      <c r="E30" s="266">
        <f>SUM(E31:E34)</f>
        <v>9.73</v>
      </c>
      <c r="F30" s="266">
        <f>SUM(F31:F34)</f>
        <v>891.64</v>
      </c>
    </row>
    <row r="31" spans="1:6" ht="13.5" customHeight="1">
      <c r="A31" s="975"/>
      <c r="B31" s="267" t="s">
        <v>15</v>
      </c>
      <c r="C31" s="978"/>
      <c r="D31" s="268">
        <v>658.37</v>
      </c>
      <c r="E31" s="271">
        <v>0</v>
      </c>
      <c r="F31" s="271">
        <f>D31+E30</f>
        <v>668.1</v>
      </c>
    </row>
    <row r="32" spans="1:6" ht="13.5" customHeight="1">
      <c r="A32" s="975"/>
      <c r="B32" s="267" t="s">
        <v>1643</v>
      </c>
      <c r="C32" s="978"/>
      <c r="D32" s="269">
        <v>59.65</v>
      </c>
      <c r="E32" s="272">
        <v>9.73</v>
      </c>
      <c r="F32" s="272">
        <f>D32-E32</f>
        <v>49.92</v>
      </c>
    </row>
    <row r="33" spans="1:6" ht="13.5" customHeight="1">
      <c r="A33" s="975"/>
      <c r="B33" s="270" t="s">
        <v>1641</v>
      </c>
      <c r="C33" s="978"/>
      <c r="D33" s="268">
        <v>0</v>
      </c>
      <c r="E33" s="271">
        <v>0</v>
      </c>
      <c r="F33" s="271">
        <v>0</v>
      </c>
    </row>
    <row r="34" spans="1:6" ht="13.5" customHeight="1">
      <c r="A34" s="975"/>
      <c r="B34" s="267" t="s">
        <v>1642</v>
      </c>
      <c r="C34" s="978"/>
      <c r="D34" s="269">
        <v>173.62</v>
      </c>
      <c r="E34" s="272">
        <v>0</v>
      </c>
      <c r="F34" s="272">
        <v>173.62</v>
      </c>
    </row>
    <row r="35" spans="1:6" ht="13.5" customHeight="1">
      <c r="A35" s="975"/>
      <c r="B35" s="267" t="s">
        <v>204</v>
      </c>
      <c r="C35" s="979"/>
      <c r="D35" s="269">
        <v>0</v>
      </c>
      <c r="E35" s="272">
        <v>0</v>
      </c>
      <c r="F35" s="272">
        <v>0</v>
      </c>
    </row>
    <row r="36" spans="1:6" ht="14.25">
      <c r="A36" s="975">
        <v>7</v>
      </c>
      <c r="B36" s="264" t="s">
        <v>44</v>
      </c>
      <c r="C36" s="977" t="s">
        <v>1553</v>
      </c>
      <c r="D36" s="266">
        <v>423.25299999999999</v>
      </c>
      <c r="E36" s="266">
        <f>SUM(E37:E40)</f>
        <v>0.72</v>
      </c>
      <c r="F36" s="266">
        <f>SUM(F37:F40)</f>
        <v>423.25</v>
      </c>
    </row>
    <row r="37" spans="1:6" ht="13.5" customHeight="1">
      <c r="A37" s="975"/>
      <c r="B37" s="267" t="s">
        <v>15</v>
      </c>
      <c r="C37" s="978"/>
      <c r="D37" s="268">
        <v>329.58</v>
      </c>
      <c r="E37" s="271">
        <v>0</v>
      </c>
      <c r="F37" s="271">
        <f>E36+D37</f>
        <v>330.3</v>
      </c>
    </row>
    <row r="38" spans="1:6" ht="13.5" customHeight="1">
      <c r="A38" s="975"/>
      <c r="B38" s="267" t="s">
        <v>1643</v>
      </c>
      <c r="C38" s="978"/>
      <c r="D38" s="269">
        <v>11.31</v>
      </c>
      <c r="E38" s="272">
        <v>0.72</v>
      </c>
      <c r="F38" s="273">
        <f>D38-E38</f>
        <v>10.59</v>
      </c>
    </row>
    <row r="39" spans="1:6" ht="13.5" customHeight="1">
      <c r="A39" s="975"/>
      <c r="B39" s="270" t="s">
        <v>1641</v>
      </c>
      <c r="C39" s="978"/>
      <c r="D39" s="268">
        <v>0</v>
      </c>
      <c r="E39" s="271">
        <v>0</v>
      </c>
      <c r="F39" s="273">
        <f>D39-E39</f>
        <v>0</v>
      </c>
    </row>
    <row r="40" spans="1:6" ht="13.5" customHeight="1">
      <c r="A40" s="975"/>
      <c r="B40" s="267" t="s">
        <v>1642</v>
      </c>
      <c r="C40" s="978"/>
      <c r="D40" s="269">
        <v>82.36</v>
      </c>
      <c r="E40" s="272">
        <v>0</v>
      </c>
      <c r="F40" s="273">
        <f>D40-E40</f>
        <v>82.36</v>
      </c>
    </row>
    <row r="41" spans="1:6" ht="13.5" customHeight="1">
      <c r="A41" s="975"/>
      <c r="B41" s="267" t="s">
        <v>204</v>
      </c>
      <c r="C41" s="979"/>
      <c r="D41" s="269">
        <v>0</v>
      </c>
      <c r="E41" s="272">
        <v>0</v>
      </c>
      <c r="F41" s="272">
        <v>0</v>
      </c>
    </row>
    <row r="42" spans="1:6" ht="28.5">
      <c r="A42" s="975">
        <v>8</v>
      </c>
      <c r="B42" s="274" t="s">
        <v>16</v>
      </c>
      <c r="C42" s="980" t="s">
        <v>1562</v>
      </c>
      <c r="D42" s="275">
        <f>SUM(D43:D46)</f>
        <v>35</v>
      </c>
      <c r="E42" s="275">
        <v>1</v>
      </c>
      <c r="F42" s="275">
        <f>SUM(F43:F46)</f>
        <v>36</v>
      </c>
    </row>
    <row r="43" spans="1:6" ht="13.5" customHeight="1">
      <c r="A43" s="975"/>
      <c r="B43" s="267" t="s">
        <v>15</v>
      </c>
      <c r="C43" s="980"/>
      <c r="D43" s="276">
        <v>34</v>
      </c>
      <c r="E43" s="276">
        <v>0</v>
      </c>
      <c r="F43" s="276">
        <v>35</v>
      </c>
    </row>
    <row r="44" spans="1:6" ht="13.5" customHeight="1">
      <c r="A44" s="975"/>
      <c r="B44" s="267" t="s">
        <v>1643</v>
      </c>
      <c r="C44" s="980"/>
      <c r="D44" s="277">
        <v>1</v>
      </c>
      <c r="E44" s="277">
        <v>0</v>
      </c>
      <c r="F44" s="278">
        <f>D44-E44</f>
        <v>1</v>
      </c>
    </row>
    <row r="45" spans="1:6" ht="13.5" customHeight="1">
      <c r="A45" s="975"/>
      <c r="B45" s="270" t="s">
        <v>1641</v>
      </c>
      <c r="C45" s="980"/>
      <c r="D45" s="276">
        <v>0</v>
      </c>
      <c r="E45" s="276">
        <v>0</v>
      </c>
      <c r="F45" s="278">
        <f>D45-E45</f>
        <v>0</v>
      </c>
    </row>
    <row r="46" spans="1:6" ht="13.5" customHeight="1">
      <c r="A46" s="975"/>
      <c r="B46" s="267" t="s">
        <v>1642</v>
      </c>
      <c r="C46" s="980"/>
      <c r="D46" s="277">
        <v>0</v>
      </c>
      <c r="E46" s="277">
        <v>0</v>
      </c>
      <c r="F46" s="278">
        <f>D46-E46</f>
        <v>0</v>
      </c>
    </row>
    <row r="47" spans="1:6" ht="28.5">
      <c r="A47" s="975">
        <v>9</v>
      </c>
      <c r="B47" s="274" t="s">
        <v>17</v>
      </c>
      <c r="C47" s="980" t="s">
        <v>1562</v>
      </c>
      <c r="D47" s="275">
        <f>SUM(D48:D51)</f>
        <v>91</v>
      </c>
      <c r="E47" s="275">
        <v>0</v>
      </c>
      <c r="F47" s="275">
        <f>SUM(F48:F51)</f>
        <v>91</v>
      </c>
    </row>
    <row r="48" spans="1:6" ht="13.5" customHeight="1">
      <c r="A48" s="975"/>
      <c r="B48" s="267" t="s">
        <v>15</v>
      </c>
      <c r="C48" s="980"/>
      <c r="D48" s="276">
        <v>91</v>
      </c>
      <c r="E48" s="276">
        <v>0</v>
      </c>
      <c r="F48" s="276">
        <v>91</v>
      </c>
    </row>
    <row r="49" spans="1:6" ht="13.5" customHeight="1">
      <c r="A49" s="975"/>
      <c r="B49" s="267" t="s">
        <v>1643</v>
      </c>
      <c r="C49" s="980"/>
      <c r="D49" s="277">
        <v>0</v>
      </c>
      <c r="E49" s="277">
        <v>0</v>
      </c>
      <c r="F49" s="277">
        <v>0</v>
      </c>
    </row>
    <row r="50" spans="1:6" ht="13.5" customHeight="1">
      <c r="A50" s="975"/>
      <c r="B50" s="270" t="s">
        <v>1641</v>
      </c>
      <c r="C50" s="980"/>
      <c r="D50" s="276">
        <v>0</v>
      </c>
      <c r="E50" s="276">
        <v>0</v>
      </c>
      <c r="F50" s="276">
        <v>0</v>
      </c>
    </row>
    <row r="51" spans="1:6" ht="13.5" customHeight="1">
      <c r="A51" s="975"/>
      <c r="B51" s="267" t="s">
        <v>1642</v>
      </c>
      <c r="C51" s="980"/>
      <c r="D51" s="277">
        <v>0</v>
      </c>
      <c r="E51" s="277">
        <v>0</v>
      </c>
      <c r="F51" s="277">
        <v>0</v>
      </c>
    </row>
    <row r="52" spans="1:6" ht="42.75">
      <c r="A52" s="975">
        <v>10</v>
      </c>
      <c r="B52" s="279" t="s">
        <v>187</v>
      </c>
      <c r="C52" s="980" t="s">
        <v>1562</v>
      </c>
      <c r="D52" s="275">
        <v>5863</v>
      </c>
      <c r="E52" s="275">
        <f>SUM(E53:E56)</f>
        <v>507</v>
      </c>
      <c r="F52" s="275">
        <f>SUM(F53:F56)</f>
        <v>5877</v>
      </c>
    </row>
    <row r="53" spans="1:6" ht="13.5" customHeight="1">
      <c r="A53" s="975"/>
      <c r="B53" s="267" t="s">
        <v>15</v>
      </c>
      <c r="C53" s="980"/>
      <c r="D53" s="276">
        <v>2025</v>
      </c>
      <c r="E53" s="282">
        <v>14</v>
      </c>
      <c r="F53" s="283">
        <f>D53+E52</f>
        <v>2532</v>
      </c>
    </row>
    <row r="54" spans="1:6" ht="13.5" customHeight="1">
      <c r="A54" s="975"/>
      <c r="B54" s="267" t="s">
        <v>1643</v>
      </c>
      <c r="C54" s="980"/>
      <c r="D54" s="277">
        <v>1562</v>
      </c>
      <c r="E54" s="277">
        <v>23</v>
      </c>
      <c r="F54" s="278">
        <f>D54-E54</f>
        <v>1539</v>
      </c>
    </row>
    <row r="55" spans="1:6" ht="13.5" customHeight="1">
      <c r="A55" s="975"/>
      <c r="B55" s="270" t="s">
        <v>1641</v>
      </c>
      <c r="C55" s="980"/>
      <c r="D55" s="276">
        <v>1546</v>
      </c>
      <c r="E55" s="276">
        <v>465</v>
      </c>
      <c r="F55" s="278">
        <f>D55-E55</f>
        <v>1081</v>
      </c>
    </row>
    <row r="56" spans="1:6" ht="13.5" customHeight="1">
      <c r="A56" s="975"/>
      <c r="B56" s="267" t="s">
        <v>1642</v>
      </c>
      <c r="C56" s="980"/>
      <c r="D56" s="277">
        <v>730</v>
      </c>
      <c r="E56" s="277">
        <v>5</v>
      </c>
      <c r="F56" s="278">
        <f>D56-E56</f>
        <v>725</v>
      </c>
    </row>
    <row r="57" spans="1:6" ht="43.5" customHeight="1">
      <c r="A57" s="975">
        <v>11</v>
      </c>
      <c r="B57" s="284" t="s">
        <v>20</v>
      </c>
      <c r="C57" s="980" t="s">
        <v>1562</v>
      </c>
      <c r="D57" s="275">
        <f>SUM(D58:D60)</f>
        <v>55</v>
      </c>
      <c r="E57" s="275">
        <f>SUM(E58:E60)</f>
        <v>0</v>
      </c>
      <c r="F57" s="275">
        <f>SUM(F58:F60)</f>
        <v>55</v>
      </c>
    </row>
    <row r="58" spans="1:6" ht="13.5" customHeight="1">
      <c r="A58" s="975"/>
      <c r="B58" s="285" t="s">
        <v>15</v>
      </c>
      <c r="C58" s="980"/>
      <c r="D58" s="276">
        <v>55</v>
      </c>
      <c r="E58" s="276">
        <v>0</v>
      </c>
      <c r="F58" s="276">
        <v>55</v>
      </c>
    </row>
    <row r="59" spans="1:6" ht="27.75" customHeight="1">
      <c r="A59" s="975"/>
      <c r="B59" s="285" t="s">
        <v>1554</v>
      </c>
      <c r="C59" s="980"/>
      <c r="D59" s="276">
        <v>0</v>
      </c>
      <c r="E59" s="276">
        <v>0</v>
      </c>
      <c r="F59" s="276">
        <v>0</v>
      </c>
    </row>
    <row r="60" spans="1:6" ht="29.25" customHeight="1">
      <c r="A60" s="975"/>
      <c r="B60" s="285" t="s">
        <v>145</v>
      </c>
      <c r="C60" s="980"/>
      <c r="D60" s="276">
        <v>0</v>
      </c>
      <c r="E60" s="276">
        <v>0</v>
      </c>
      <c r="F60" s="276">
        <v>0</v>
      </c>
    </row>
    <row r="61" spans="1:6" ht="27" customHeight="1">
      <c r="A61" s="975">
        <v>12</v>
      </c>
      <c r="B61" s="284" t="s">
        <v>19</v>
      </c>
      <c r="C61" s="980" t="s">
        <v>1562</v>
      </c>
      <c r="D61" s="275">
        <f>SUM(D62:D64)</f>
        <v>127</v>
      </c>
      <c r="E61" s="275">
        <f>SUM(E62:E64)</f>
        <v>0</v>
      </c>
      <c r="F61" s="275">
        <f>SUM(F62:F64)</f>
        <v>127</v>
      </c>
    </row>
    <row r="62" spans="1:6" ht="13.5" customHeight="1">
      <c r="A62" s="975"/>
      <c r="B62" s="285" t="s">
        <v>15</v>
      </c>
      <c r="C62" s="980"/>
      <c r="D62" s="276">
        <v>127</v>
      </c>
      <c r="E62" s="276">
        <v>0</v>
      </c>
      <c r="F62" s="276">
        <v>127</v>
      </c>
    </row>
    <row r="63" spans="1:6" ht="26.25" customHeight="1">
      <c r="A63" s="975"/>
      <c r="B63" s="285" t="s">
        <v>1554</v>
      </c>
      <c r="C63" s="980"/>
      <c r="D63" s="276">
        <v>0</v>
      </c>
      <c r="E63" s="276">
        <v>0</v>
      </c>
      <c r="F63" s="276">
        <v>0</v>
      </c>
    </row>
    <row r="64" spans="1:6" ht="30" customHeight="1">
      <c r="A64" s="975"/>
      <c r="B64" s="285" t="s">
        <v>145</v>
      </c>
      <c r="C64" s="980"/>
      <c r="D64" s="276">
        <v>0</v>
      </c>
      <c r="E64" s="276">
        <v>0</v>
      </c>
      <c r="F64" s="276">
        <v>0</v>
      </c>
    </row>
    <row r="65" spans="1:6" ht="45" customHeight="1">
      <c r="A65" s="975">
        <v>13</v>
      </c>
      <c r="B65" s="284" t="s">
        <v>91</v>
      </c>
      <c r="C65" s="980" t="s">
        <v>1562</v>
      </c>
      <c r="D65" s="872">
        <v>6662</v>
      </c>
      <c r="E65" s="872">
        <f>E66+E67+E68</f>
        <v>37</v>
      </c>
      <c r="F65" s="872">
        <f>F66+F67+F68</f>
        <v>6676</v>
      </c>
    </row>
    <row r="66" spans="1:6" ht="13.5" customHeight="1">
      <c r="A66" s="975"/>
      <c r="B66" s="285" t="s">
        <v>15</v>
      </c>
      <c r="C66" s="980"/>
      <c r="D66" s="873">
        <v>3764</v>
      </c>
      <c r="E66" s="874">
        <v>14</v>
      </c>
      <c r="F66" s="874">
        <f>D66+E66+E67+E68</f>
        <v>3801</v>
      </c>
    </row>
    <row r="67" spans="1:6" ht="29.25" customHeight="1">
      <c r="A67" s="975"/>
      <c r="B67" s="285" t="s">
        <v>1554</v>
      </c>
      <c r="C67" s="980"/>
      <c r="D67" s="873">
        <v>2898</v>
      </c>
      <c r="E67" s="874">
        <v>23</v>
      </c>
      <c r="F67" s="874">
        <f>D67-E67</f>
        <v>2875</v>
      </c>
    </row>
    <row r="68" spans="1:6" ht="27" customHeight="1">
      <c r="A68" s="975"/>
      <c r="B68" s="285" t="s">
        <v>145</v>
      </c>
      <c r="C68" s="980"/>
      <c r="D68" s="873">
        <v>0</v>
      </c>
      <c r="E68" s="873">
        <v>0</v>
      </c>
      <c r="F68" s="873">
        <v>0</v>
      </c>
    </row>
    <row r="69" spans="1:6" ht="15" customHeight="1">
      <c r="A69" s="982"/>
      <c r="B69" s="982"/>
      <c r="C69" s="982"/>
      <c r="D69" s="982"/>
      <c r="E69" s="982"/>
      <c r="F69" s="982"/>
    </row>
    <row r="70" spans="1:6" ht="30" customHeight="1">
      <c r="A70" s="981" t="s">
        <v>188</v>
      </c>
      <c r="B70" s="981"/>
      <c r="C70" s="981"/>
      <c r="D70" s="981"/>
      <c r="E70" s="981"/>
      <c r="F70" s="981"/>
    </row>
  </sheetData>
  <mergeCells count="29">
    <mergeCell ref="C52:C56"/>
    <mergeCell ref="C30:C35"/>
    <mergeCell ref="C47:C51"/>
    <mergeCell ref="C36:C41"/>
    <mergeCell ref="A52:A56"/>
    <mergeCell ref="A47:A51"/>
    <mergeCell ref="A30:A35"/>
    <mergeCell ref="A42:A46"/>
    <mergeCell ref="A36:A41"/>
    <mergeCell ref="A70:F70"/>
    <mergeCell ref="C61:C64"/>
    <mergeCell ref="C57:C60"/>
    <mergeCell ref="A61:A64"/>
    <mergeCell ref="A57:A60"/>
    <mergeCell ref="A65:A68"/>
    <mergeCell ref="C65:C68"/>
    <mergeCell ref="A69:F69"/>
    <mergeCell ref="C24:C29"/>
    <mergeCell ref="C14:C18"/>
    <mergeCell ref="C42:C46"/>
    <mergeCell ref="A24:A29"/>
    <mergeCell ref="A19:A23"/>
    <mergeCell ref="C19:C23"/>
    <mergeCell ref="A14:A18"/>
    <mergeCell ref="A1:F1"/>
    <mergeCell ref="A4:A8"/>
    <mergeCell ref="C4:C8"/>
    <mergeCell ref="C9:C13"/>
    <mergeCell ref="A9:A13"/>
  </mergeCells>
  <phoneticPr fontId="2" type="noConversion"/>
  <pageMargins left="0.65" right="0.4" top="0.34" bottom="0.45" header="0.25" footer="0.24"/>
  <pageSetup paperSize="9" scale="79" orientation="portrait" r:id="rId1"/>
  <headerFooter alignWithMargins="0"/>
</worksheet>
</file>

<file path=xl/worksheets/sheet6.xml><?xml version="1.0" encoding="utf-8"?>
<worksheet xmlns="http://schemas.openxmlformats.org/spreadsheetml/2006/main" xmlns:r="http://schemas.openxmlformats.org/officeDocument/2006/relationships">
  <sheetPr codeName="Лист6">
    <tabColor rgb="FF00B0F0"/>
  </sheetPr>
  <dimension ref="A1:I140"/>
  <sheetViews>
    <sheetView view="pageBreakPreview" topLeftCell="A76" zoomScale="70" zoomScaleNormal="100" zoomScaleSheetLayoutView="70" zoomScalePageLayoutView="70" workbookViewId="0">
      <selection activeCell="A43" sqref="A43:A51"/>
    </sheetView>
  </sheetViews>
  <sheetFormatPr defaultRowHeight="12.75"/>
  <cols>
    <col min="1" max="1" width="3.28515625" style="19" customWidth="1"/>
    <col min="2" max="2" width="33.28515625" style="19" customWidth="1"/>
    <col min="3" max="3" width="14.7109375" style="19" customWidth="1"/>
    <col min="4" max="4" width="10.42578125" style="19" customWidth="1"/>
    <col min="5" max="5" width="8" style="19" customWidth="1"/>
    <col min="6" max="6" width="9.28515625" style="19" customWidth="1"/>
    <col min="7" max="7" width="10.42578125" style="19" customWidth="1"/>
    <col min="8" max="8" width="8.7109375" style="19" customWidth="1"/>
    <col min="9" max="9" width="12.7109375" style="19" customWidth="1"/>
    <col min="10" max="16384" width="9.140625" style="19"/>
  </cols>
  <sheetData>
    <row r="1" spans="1:9" ht="21.75" customHeight="1">
      <c r="A1" s="985" t="s">
        <v>146</v>
      </c>
      <c r="B1" s="986"/>
      <c r="C1" s="986"/>
      <c r="D1" s="986"/>
      <c r="E1" s="986"/>
      <c r="F1" s="986"/>
      <c r="G1" s="986"/>
      <c r="H1" s="986"/>
      <c r="I1" s="986"/>
    </row>
    <row r="2" spans="1:9" ht="42.75" customHeight="1">
      <c r="A2" s="37" t="s">
        <v>1531</v>
      </c>
      <c r="B2" s="37" t="s">
        <v>1555</v>
      </c>
      <c r="C2" s="37" t="s">
        <v>1613</v>
      </c>
      <c r="D2" s="987" t="s">
        <v>329</v>
      </c>
      <c r="E2" s="988"/>
      <c r="F2" s="988"/>
      <c r="G2" s="989" t="s">
        <v>1366</v>
      </c>
      <c r="H2" s="989"/>
      <c r="I2" s="989"/>
    </row>
    <row r="3" spans="1:9" ht="14.25" customHeight="1">
      <c r="A3" s="245">
        <v>1</v>
      </c>
      <c r="B3" s="245">
        <v>2</v>
      </c>
      <c r="C3" s="245">
        <v>3</v>
      </c>
      <c r="D3" s="993">
        <v>4</v>
      </c>
      <c r="E3" s="994"/>
      <c r="F3" s="994"/>
      <c r="G3" s="993">
        <v>5</v>
      </c>
      <c r="H3" s="994"/>
      <c r="I3" s="995"/>
    </row>
    <row r="4" spans="1:9" ht="29.25" customHeight="1">
      <c r="A4" s="1074">
        <v>1</v>
      </c>
      <c r="B4" s="46" t="s">
        <v>21</v>
      </c>
      <c r="C4" s="996" t="s">
        <v>1553</v>
      </c>
      <c r="D4" s="1076">
        <f>SUM(D6,D8,D10,D12,D14,D16)</f>
        <v>25648.78</v>
      </c>
      <c r="E4" s="1077"/>
      <c r="F4" s="1078"/>
      <c r="G4" s="1076">
        <f>SUM(G6,G8,G10,G12,G14,G16)</f>
        <v>25658.42</v>
      </c>
      <c r="H4" s="1077"/>
      <c r="I4" s="1078"/>
    </row>
    <row r="5" spans="1:9" ht="15">
      <c r="A5" s="1074"/>
      <c r="B5" s="44" t="s">
        <v>1574</v>
      </c>
      <c r="C5" s="997"/>
      <c r="D5" s="1079"/>
      <c r="E5" s="1080"/>
      <c r="F5" s="1081"/>
      <c r="G5" s="1079"/>
      <c r="H5" s="1080"/>
      <c r="I5" s="1081"/>
    </row>
    <row r="6" spans="1:9" ht="15">
      <c r="A6" s="1074"/>
      <c r="B6" s="46" t="s">
        <v>1569</v>
      </c>
      <c r="C6" s="45" t="s">
        <v>153</v>
      </c>
      <c r="D6" s="478">
        <v>0</v>
      </c>
      <c r="E6" s="1014">
        <f>IF(D4=0,0,D6/D4)</f>
        <v>0</v>
      </c>
      <c r="F6" s="1015"/>
      <c r="G6" s="478">
        <v>0</v>
      </c>
      <c r="H6" s="1014">
        <f>IF(G4=0,0,G6/G4)</f>
        <v>0</v>
      </c>
      <c r="I6" s="1015"/>
    </row>
    <row r="7" spans="1:9" ht="15">
      <c r="A7" s="1074"/>
      <c r="B7" s="44" t="s">
        <v>1556</v>
      </c>
      <c r="C7" s="45" t="s">
        <v>153</v>
      </c>
      <c r="D7" s="478">
        <v>0</v>
      </c>
      <c r="E7" s="1014">
        <f>IF(D6=0,0,D7/D6)</f>
        <v>0</v>
      </c>
      <c r="F7" s="1015"/>
      <c r="G7" s="478">
        <v>0</v>
      </c>
      <c r="H7" s="1014">
        <f>IF(G6=0,0,G7/G6)</f>
        <v>0</v>
      </c>
      <c r="I7" s="1015"/>
    </row>
    <row r="8" spans="1:9" ht="15">
      <c r="A8" s="1074"/>
      <c r="B8" s="46" t="s">
        <v>1570</v>
      </c>
      <c r="C8" s="45" t="s">
        <v>153</v>
      </c>
      <c r="D8" s="479">
        <v>1264.2</v>
      </c>
      <c r="E8" s="983">
        <f>IF(D4=0,0,D8/D4)</f>
        <v>4.9288894052660598E-2</v>
      </c>
      <c r="F8" s="984"/>
      <c r="G8" s="479">
        <v>1264.2</v>
      </c>
      <c r="H8" s="983">
        <f>IF(G4=0,0,G8/G4)</f>
        <v>4.9270375962354666E-2</v>
      </c>
      <c r="I8" s="984"/>
    </row>
    <row r="9" spans="1:9" ht="15">
      <c r="A9" s="1074"/>
      <c r="B9" s="44" t="s">
        <v>1556</v>
      </c>
      <c r="C9" s="45" t="s">
        <v>153</v>
      </c>
      <c r="D9" s="479">
        <v>0</v>
      </c>
      <c r="E9" s="983">
        <f>IF(D8=0,0,D9/D8)</f>
        <v>0</v>
      </c>
      <c r="F9" s="984"/>
      <c r="G9" s="479">
        <v>0</v>
      </c>
      <c r="H9" s="983">
        <f>IF(G8=0,0,G9/G8)</f>
        <v>0</v>
      </c>
      <c r="I9" s="984"/>
    </row>
    <row r="10" spans="1:9" ht="15">
      <c r="A10" s="1074"/>
      <c r="B10" s="46" t="s">
        <v>1571</v>
      </c>
      <c r="C10" s="45" t="s">
        <v>153</v>
      </c>
      <c r="D10" s="479">
        <v>1500.55</v>
      </c>
      <c r="E10" s="983">
        <f>IF(D4=0,0,D10/D4)</f>
        <v>5.8503757293719233E-2</v>
      </c>
      <c r="F10" s="984"/>
      <c r="G10" s="479">
        <v>1500.55</v>
      </c>
      <c r="H10" s="983">
        <f>IF(G4=0,0,G10/G4)</f>
        <v>5.8481777132029178E-2</v>
      </c>
      <c r="I10" s="984"/>
    </row>
    <row r="11" spans="1:9" ht="15">
      <c r="A11" s="1074"/>
      <c r="B11" s="44" t="s">
        <v>1557</v>
      </c>
      <c r="C11" s="45" t="s">
        <v>153</v>
      </c>
      <c r="D11" s="479">
        <v>0</v>
      </c>
      <c r="E11" s="983">
        <f>IF(D10=0,0,D11/D10)</f>
        <v>0</v>
      </c>
      <c r="F11" s="984"/>
      <c r="G11" s="479">
        <v>0</v>
      </c>
      <c r="H11" s="983">
        <f>IF(G10=0,0,G11/G10)</f>
        <v>0</v>
      </c>
      <c r="I11" s="984"/>
    </row>
    <row r="12" spans="1:9" ht="15">
      <c r="A12" s="1074"/>
      <c r="B12" s="46" t="s">
        <v>1572</v>
      </c>
      <c r="C12" s="45" t="s">
        <v>153</v>
      </c>
      <c r="D12" s="479">
        <v>9361.7999999999993</v>
      </c>
      <c r="E12" s="983">
        <f>IF(D4=0,0,D12/D4)</f>
        <v>0.36499981675541682</v>
      </c>
      <c r="F12" s="984"/>
      <c r="G12" s="479">
        <f>D12+'4. Технічний стан'!E15</f>
        <v>9367.59</v>
      </c>
      <c r="H12" s="983">
        <f>IF(G4=0,0,G12/G4)</f>
        <v>0.36508834137098078</v>
      </c>
      <c r="I12" s="984"/>
    </row>
    <row r="13" spans="1:9" ht="15">
      <c r="A13" s="1074"/>
      <c r="B13" s="44" t="s">
        <v>1557</v>
      </c>
      <c r="C13" s="45" t="s">
        <v>153</v>
      </c>
      <c r="D13" s="479">
        <v>272.7</v>
      </c>
      <c r="E13" s="983">
        <f>IF(D12=0,0,D13/D12)</f>
        <v>2.912901365122092E-2</v>
      </c>
      <c r="F13" s="984"/>
      <c r="G13" s="479">
        <v>261.54000000000002</v>
      </c>
      <c r="H13" s="983">
        <f>IF(G12=0,0,G13/G12)</f>
        <v>2.7919667705354315E-2</v>
      </c>
      <c r="I13" s="984"/>
    </row>
    <row r="14" spans="1:9" ht="15">
      <c r="A14" s="1074"/>
      <c r="B14" s="46" t="s">
        <v>1573</v>
      </c>
      <c r="C14" s="45" t="s">
        <v>153</v>
      </c>
      <c r="D14" s="479">
        <v>11.1</v>
      </c>
      <c r="E14" s="983">
        <f>IF(D4=0,0,D14/D4)</f>
        <v>4.3276912196213619E-4</v>
      </c>
      <c r="F14" s="984"/>
      <c r="G14" s="479">
        <v>11.1</v>
      </c>
      <c r="H14" s="983">
        <f>IF(G4=0,0,G14/G4)</f>
        <v>4.3260652838327538E-4</v>
      </c>
      <c r="I14" s="984"/>
    </row>
    <row r="15" spans="1:9" ht="15">
      <c r="A15" s="1074"/>
      <c r="B15" s="44" t="s">
        <v>1556</v>
      </c>
      <c r="C15" s="45" t="s">
        <v>153</v>
      </c>
      <c r="D15" s="479">
        <v>2.625</v>
      </c>
      <c r="E15" s="983">
        <f>IF(D14=0,0,D15/D14)</f>
        <v>0.23648648648648649</v>
      </c>
      <c r="F15" s="984"/>
      <c r="G15" s="479">
        <v>2.63</v>
      </c>
      <c r="H15" s="983">
        <f>IF(G14=0,0,G15/G14)</f>
        <v>0.23693693693693693</v>
      </c>
      <c r="I15" s="984"/>
    </row>
    <row r="16" spans="1:9" ht="15">
      <c r="A16" s="1074"/>
      <c r="B16" s="46" t="s">
        <v>1575</v>
      </c>
      <c r="C16" s="45" t="s">
        <v>153</v>
      </c>
      <c r="D16" s="479">
        <v>13511.13</v>
      </c>
      <c r="E16" s="983">
        <f>IF(D4=0,0,D16/D4)</f>
        <v>0.52677476277624125</v>
      </c>
      <c r="F16" s="984"/>
      <c r="G16" s="480">
        <f>D16+'4. Технічний стан'!E20</f>
        <v>13514.98</v>
      </c>
      <c r="H16" s="983">
        <f>IF(G4=0,0,G16/G4)</f>
        <v>0.52672689900625214</v>
      </c>
      <c r="I16" s="984"/>
    </row>
    <row r="17" spans="1:9" ht="15">
      <c r="A17" s="1074"/>
      <c r="B17" s="44" t="s">
        <v>1556</v>
      </c>
      <c r="C17" s="45" t="s">
        <v>153</v>
      </c>
      <c r="D17" s="479">
        <v>3715.44</v>
      </c>
      <c r="E17" s="983">
        <f>IF(D16=0,0,D17/D16)</f>
        <v>0.27499106292367848</v>
      </c>
      <c r="F17" s="984"/>
      <c r="G17" s="479">
        <v>3629.84</v>
      </c>
      <c r="H17" s="983">
        <f>IF(G16=0,0,G17/G16)</f>
        <v>0.26857901380542187</v>
      </c>
      <c r="I17" s="984"/>
    </row>
    <row r="18" spans="1:9" ht="15">
      <c r="A18" s="1074"/>
      <c r="B18" s="44" t="s">
        <v>192</v>
      </c>
      <c r="C18" s="45" t="s">
        <v>1553</v>
      </c>
      <c r="D18" s="1012">
        <v>0</v>
      </c>
      <c r="E18" s="1016"/>
      <c r="F18" s="1013"/>
      <c r="G18" s="1012">
        <v>0</v>
      </c>
      <c r="H18" s="1016"/>
      <c r="I18" s="1013"/>
    </row>
    <row r="19" spans="1:9" ht="30">
      <c r="A19" s="1074"/>
      <c r="B19" s="44" t="s">
        <v>152</v>
      </c>
      <c r="C19" s="45" t="s">
        <v>1553</v>
      </c>
      <c r="D19" s="1012">
        <v>196.8</v>
      </c>
      <c r="E19" s="1016"/>
      <c r="F19" s="1013"/>
      <c r="G19" s="1012">
        <f>D19+'4. Технічний стан'!E20+'4. Технічний стан'!E21</f>
        <v>272.5</v>
      </c>
      <c r="H19" s="1016"/>
      <c r="I19" s="1013"/>
    </row>
    <row r="20" spans="1:9" ht="15" customHeight="1">
      <c r="A20" s="1074"/>
      <c r="B20" s="46" t="s">
        <v>22</v>
      </c>
      <c r="C20" s="45" t="s">
        <v>157</v>
      </c>
      <c r="D20" s="481">
        <v>284094</v>
      </c>
      <c r="E20" s="1012">
        <v>6323</v>
      </c>
      <c r="F20" s="1013"/>
      <c r="G20" s="481">
        <v>285344</v>
      </c>
      <c r="H20" s="1012">
        <v>6350.9</v>
      </c>
      <c r="I20" s="1013"/>
    </row>
    <row r="21" spans="1:9" ht="30">
      <c r="A21" s="1074"/>
      <c r="B21" s="44" t="s">
        <v>27</v>
      </c>
      <c r="C21" s="45" t="s">
        <v>153</v>
      </c>
      <c r="D21" s="479">
        <v>2228</v>
      </c>
      <c r="E21" s="983">
        <f>IF(E20=0,0,D21/E20)</f>
        <v>0.35236438399493913</v>
      </c>
      <c r="F21" s="984"/>
      <c r="G21" s="479">
        <v>2346.36</v>
      </c>
      <c r="H21" s="983">
        <f>IF(H20=0,0,G21/H20)</f>
        <v>0.36945314837267162</v>
      </c>
      <c r="I21" s="984"/>
    </row>
    <row r="22" spans="1:9" ht="27.75" customHeight="1">
      <c r="A22" s="1074">
        <v>2</v>
      </c>
      <c r="B22" s="46" t="s">
        <v>23</v>
      </c>
      <c r="C22" s="996" t="s">
        <v>1553</v>
      </c>
      <c r="D22" s="1000">
        <f>D24+D26+D28+D30</f>
        <v>1317.19</v>
      </c>
      <c r="E22" s="1001"/>
      <c r="F22" s="1002"/>
      <c r="G22" s="1000">
        <f>G24+G26+G28+G30</f>
        <v>1317.19</v>
      </c>
      <c r="H22" s="1001"/>
      <c r="I22" s="1002"/>
    </row>
    <row r="23" spans="1:9" ht="15">
      <c r="A23" s="1074"/>
      <c r="B23" s="44" t="s">
        <v>1574</v>
      </c>
      <c r="C23" s="997"/>
      <c r="D23" s="1003"/>
      <c r="E23" s="1004"/>
      <c r="F23" s="1005"/>
      <c r="G23" s="1003"/>
      <c r="H23" s="1004"/>
      <c r="I23" s="1005"/>
    </row>
    <row r="24" spans="1:9" ht="15">
      <c r="A24" s="1074"/>
      <c r="B24" s="46" t="s">
        <v>1571</v>
      </c>
      <c r="C24" s="45" t="s">
        <v>153</v>
      </c>
      <c r="D24" s="482">
        <v>2.2999999999999998</v>
      </c>
      <c r="E24" s="1008">
        <f>IF(D20=0,0,D24/D22)</f>
        <v>1.7461414070862971E-3</v>
      </c>
      <c r="F24" s="1008"/>
      <c r="G24" s="482">
        <v>2.2999999999999998</v>
      </c>
      <c r="H24" s="1008">
        <f>IF(G22=0,0,G24/G22)</f>
        <v>1.7461414070862971E-3</v>
      </c>
      <c r="I24" s="1008"/>
    </row>
    <row r="25" spans="1:9" ht="15">
      <c r="A25" s="1074"/>
      <c r="B25" s="44" t="s">
        <v>1577</v>
      </c>
      <c r="C25" s="45" t="s">
        <v>153</v>
      </c>
      <c r="D25" s="482">
        <v>0</v>
      </c>
      <c r="E25" s="1008">
        <f>IF(D21=0,0,D25/D21)</f>
        <v>0</v>
      </c>
      <c r="F25" s="1008"/>
      <c r="G25" s="482">
        <v>0</v>
      </c>
      <c r="H25" s="1008">
        <f>IF(G23=0,0,G25/G23)</f>
        <v>0</v>
      </c>
      <c r="I25" s="1008"/>
    </row>
    <row r="26" spans="1:9" ht="15">
      <c r="A26" s="1074"/>
      <c r="B26" s="46" t="s">
        <v>1572</v>
      </c>
      <c r="C26" s="45" t="s">
        <v>153</v>
      </c>
      <c r="D26" s="479">
        <v>831.13</v>
      </c>
      <c r="E26" s="1008">
        <f>IF(D22=0,0,D26/D22)</f>
        <v>0.63098717724853659</v>
      </c>
      <c r="F26" s="1008"/>
      <c r="G26" s="479">
        <v>831.13</v>
      </c>
      <c r="H26" s="1008">
        <f>IF(G22=0,0,G26/G22)</f>
        <v>0.63098717724853659</v>
      </c>
      <c r="I26" s="1008"/>
    </row>
    <row r="27" spans="1:9" ht="15">
      <c r="A27" s="1074"/>
      <c r="B27" s="44" t="s">
        <v>1577</v>
      </c>
      <c r="C27" s="45" t="s">
        <v>153</v>
      </c>
      <c r="D27" s="479">
        <v>359.48</v>
      </c>
      <c r="E27" s="1008">
        <f>IF(D26=0,0,D27/D26)</f>
        <v>0.43251958177421101</v>
      </c>
      <c r="F27" s="1008"/>
      <c r="G27" s="479">
        <v>347.76</v>
      </c>
      <c r="H27" s="1008">
        <f>IF(G26=0,0,G27/G26)</f>
        <v>0.41841829797985874</v>
      </c>
      <c r="I27" s="1008"/>
    </row>
    <row r="28" spans="1:9" ht="15">
      <c r="A28" s="1074"/>
      <c r="B28" s="46" t="s">
        <v>1573</v>
      </c>
      <c r="C28" s="45" t="s">
        <v>153</v>
      </c>
      <c r="D28" s="479">
        <v>60.51</v>
      </c>
      <c r="E28" s="1008">
        <f>IF(D22=0,0,D28/D22)</f>
        <v>4.5938702844692106E-2</v>
      </c>
      <c r="F28" s="1008"/>
      <c r="G28" s="479">
        <v>60.51</v>
      </c>
      <c r="H28" s="1008">
        <f>IF(G22=0,0,G28/G22)</f>
        <v>4.5938702844692106E-2</v>
      </c>
      <c r="I28" s="1008"/>
    </row>
    <row r="29" spans="1:9" ht="15">
      <c r="A29" s="1074"/>
      <c r="B29" s="44" t="s">
        <v>1577</v>
      </c>
      <c r="C29" s="45" t="s">
        <v>153</v>
      </c>
      <c r="D29" s="479">
        <v>34.119999999999997</v>
      </c>
      <c r="E29" s="1008">
        <f>IF(D28=0,0,D29/D28)</f>
        <v>0.56387373987770617</v>
      </c>
      <c r="F29" s="1008"/>
      <c r="G29" s="479">
        <v>34.119999999999997</v>
      </c>
      <c r="H29" s="1008">
        <f>IF(G28=0,0,G29/G28)</f>
        <v>0.56387373987770617</v>
      </c>
      <c r="I29" s="1008"/>
    </row>
    <row r="30" spans="1:9" ht="15">
      <c r="A30" s="1074"/>
      <c r="B30" s="46" t="s">
        <v>1576</v>
      </c>
      <c r="C30" s="45" t="s">
        <v>153</v>
      </c>
      <c r="D30" s="479">
        <v>423.25</v>
      </c>
      <c r="E30" s="1008">
        <f>IF(D22=0,0,D30/D22)</f>
        <v>0.32132797849968492</v>
      </c>
      <c r="F30" s="1008"/>
      <c r="G30" s="479">
        <v>423.25</v>
      </c>
      <c r="H30" s="1008">
        <f>IF(G22=0,0,G30/G22)</f>
        <v>0.32132797849968492</v>
      </c>
      <c r="I30" s="1008"/>
    </row>
    <row r="31" spans="1:9" ht="15">
      <c r="A31" s="1074"/>
      <c r="B31" s="44" t="s">
        <v>1577</v>
      </c>
      <c r="C31" s="45" t="s">
        <v>153</v>
      </c>
      <c r="D31" s="479">
        <v>209.62</v>
      </c>
      <c r="E31" s="1008">
        <f>IF(D30=0,0,D31/D30)</f>
        <v>0.49526284701712936</v>
      </c>
      <c r="F31" s="1008"/>
      <c r="G31" s="479">
        <v>208.04</v>
      </c>
      <c r="H31" s="1008">
        <f>IF(G30=0,0,G31/G30)</f>
        <v>0.49152982870643824</v>
      </c>
      <c r="I31" s="1008"/>
    </row>
    <row r="32" spans="1:9" ht="58.5" customHeight="1">
      <c r="A32" s="1074">
        <v>3</v>
      </c>
      <c r="B32" s="46" t="s">
        <v>93</v>
      </c>
      <c r="C32" s="1075" t="s">
        <v>154</v>
      </c>
      <c r="D32" s="1066">
        <f>SUM(D34:D36)</f>
        <v>126</v>
      </c>
      <c r="E32" s="1068">
        <f>SUM(E34:F36)</f>
        <v>1206.5999999999999</v>
      </c>
      <c r="F32" s="1068"/>
      <c r="G32" s="1066">
        <f>SUM(G34:G36)</f>
        <v>126</v>
      </c>
      <c r="H32" s="1068">
        <f>SUM(H34:I36)</f>
        <v>1206.5999999999999</v>
      </c>
      <c r="I32" s="1068"/>
    </row>
    <row r="33" spans="1:9" ht="14.25" customHeight="1">
      <c r="A33" s="1074"/>
      <c r="B33" s="44" t="s">
        <v>1574</v>
      </c>
      <c r="C33" s="1075"/>
      <c r="D33" s="1067"/>
      <c r="E33" s="1069"/>
      <c r="F33" s="1069"/>
      <c r="G33" s="1067"/>
      <c r="H33" s="1069"/>
      <c r="I33" s="1069"/>
    </row>
    <row r="34" spans="1:9" ht="15">
      <c r="A34" s="1074"/>
      <c r="B34" s="46" t="s">
        <v>1563</v>
      </c>
      <c r="C34" s="45" t="s">
        <v>154</v>
      </c>
      <c r="D34" s="481">
        <v>0</v>
      </c>
      <c r="E34" s="1012">
        <v>0</v>
      </c>
      <c r="F34" s="1013"/>
      <c r="G34" s="481">
        <v>0</v>
      </c>
      <c r="H34" s="1012">
        <v>0</v>
      </c>
      <c r="I34" s="1013"/>
    </row>
    <row r="35" spans="1:9" ht="15">
      <c r="A35" s="1074"/>
      <c r="B35" s="46" t="s">
        <v>1552</v>
      </c>
      <c r="C35" s="45" t="s">
        <v>154</v>
      </c>
      <c r="D35" s="481">
        <v>35</v>
      </c>
      <c r="E35" s="1012">
        <v>784.6</v>
      </c>
      <c r="F35" s="1013"/>
      <c r="G35" s="481">
        <v>35</v>
      </c>
      <c r="H35" s="1012">
        <v>784.6</v>
      </c>
      <c r="I35" s="1013"/>
    </row>
    <row r="36" spans="1:9" ht="15">
      <c r="A36" s="1074"/>
      <c r="B36" s="46" t="s">
        <v>1564</v>
      </c>
      <c r="C36" s="45" t="s">
        <v>154</v>
      </c>
      <c r="D36" s="481">
        <v>91</v>
      </c>
      <c r="E36" s="1012">
        <v>422</v>
      </c>
      <c r="F36" s="1013"/>
      <c r="G36" s="481">
        <v>91</v>
      </c>
      <c r="H36" s="1012">
        <v>422</v>
      </c>
      <c r="I36" s="1013"/>
    </row>
    <row r="37" spans="1:9" ht="45" customHeight="1">
      <c r="A37" s="1074">
        <v>4</v>
      </c>
      <c r="B37" s="46" t="s">
        <v>205</v>
      </c>
      <c r="C37" s="45" t="s">
        <v>1562</v>
      </c>
      <c r="D37" s="1071">
        <v>126</v>
      </c>
      <c r="E37" s="1072"/>
      <c r="F37" s="1073"/>
      <c r="G37" s="1071">
        <v>126</v>
      </c>
      <c r="H37" s="1072"/>
      <c r="I37" s="1073"/>
    </row>
    <row r="38" spans="1:9" ht="15" customHeight="1">
      <c r="A38" s="1074"/>
      <c r="B38" s="44" t="s">
        <v>1565</v>
      </c>
      <c r="C38" s="45" t="s">
        <v>155</v>
      </c>
      <c r="D38" s="481">
        <v>58</v>
      </c>
      <c r="E38" s="983">
        <f>IF(D37=0,0,D38/D37)</f>
        <v>0.46031746031746029</v>
      </c>
      <c r="F38" s="984"/>
      <c r="G38" s="481">
        <v>58</v>
      </c>
      <c r="H38" s="983">
        <f>IF(G37=0,0,G38/G37)</f>
        <v>0.46031746031746029</v>
      </c>
      <c r="I38" s="984"/>
    </row>
    <row r="39" spans="1:9" ht="15" customHeight="1">
      <c r="A39" s="1074"/>
      <c r="B39" s="44" t="s">
        <v>1566</v>
      </c>
      <c r="C39" s="45" t="s">
        <v>1562</v>
      </c>
      <c r="D39" s="1009">
        <v>102</v>
      </c>
      <c r="E39" s="1010"/>
      <c r="F39" s="1011"/>
      <c r="G39" s="1009">
        <v>102</v>
      </c>
      <c r="H39" s="1010"/>
      <c r="I39" s="1011"/>
    </row>
    <row r="40" spans="1:9" ht="16.5" customHeight="1">
      <c r="A40" s="1074"/>
      <c r="B40" s="44" t="s">
        <v>189</v>
      </c>
      <c r="C40" s="45" t="s">
        <v>155</v>
      </c>
      <c r="D40" s="481">
        <v>91</v>
      </c>
      <c r="E40" s="983">
        <f>IF(D37=0,0,D40/D37)</f>
        <v>0.72222222222222221</v>
      </c>
      <c r="F40" s="984"/>
      <c r="G40" s="481">
        <v>91</v>
      </c>
      <c r="H40" s="983">
        <f>IF(G37=0,0,G40/G37)</f>
        <v>0.72222222222222221</v>
      </c>
      <c r="I40" s="984"/>
    </row>
    <row r="41" spans="1:9" ht="31.5" customHeight="1">
      <c r="A41" s="1074"/>
      <c r="B41" s="44" t="s">
        <v>28</v>
      </c>
      <c r="C41" s="45" t="s">
        <v>1562</v>
      </c>
      <c r="D41" s="1009">
        <v>33</v>
      </c>
      <c r="E41" s="1010"/>
      <c r="F41" s="1011"/>
      <c r="G41" s="1009">
        <v>33</v>
      </c>
      <c r="H41" s="1010"/>
      <c r="I41" s="1011"/>
    </row>
    <row r="42" spans="1:9" ht="30">
      <c r="A42" s="1074"/>
      <c r="B42" s="44" t="s">
        <v>1567</v>
      </c>
      <c r="C42" s="45" t="s">
        <v>1562</v>
      </c>
      <c r="D42" s="1009">
        <v>5</v>
      </c>
      <c r="E42" s="1010"/>
      <c r="F42" s="1011"/>
      <c r="G42" s="1009">
        <v>5</v>
      </c>
      <c r="H42" s="1010"/>
      <c r="I42" s="1011"/>
    </row>
    <row r="43" spans="1:9" ht="117" customHeight="1">
      <c r="A43" s="990">
        <v>5</v>
      </c>
      <c r="B43" s="46" t="s">
        <v>158</v>
      </c>
      <c r="C43" s="45" t="s">
        <v>154</v>
      </c>
      <c r="D43" s="490">
        <f>D46+D48+D50</f>
        <v>6844</v>
      </c>
      <c r="E43" s="1006">
        <f>F46+F48+F50</f>
        <v>2323.7690000000002</v>
      </c>
      <c r="F43" s="1007"/>
      <c r="G43" s="490">
        <f>G46+G48+G50</f>
        <v>6858</v>
      </c>
      <c r="H43" s="1006">
        <f>I46+I48+I50</f>
        <v>2326.4290000000001</v>
      </c>
      <c r="I43" s="1007"/>
    </row>
    <row r="44" spans="1:9" ht="15">
      <c r="A44" s="991"/>
      <c r="B44" s="44" t="s">
        <v>1558</v>
      </c>
      <c r="C44" s="996" t="s">
        <v>156</v>
      </c>
      <c r="D44" s="1055">
        <f>D47+D49+D51</f>
        <v>4056</v>
      </c>
      <c r="E44" s="1070">
        <f>D44/D43</f>
        <v>0.59263588544710699</v>
      </c>
      <c r="F44" s="1082">
        <f>F47+F49+F51</f>
        <v>1653.6970000000001</v>
      </c>
      <c r="G44" s="1055">
        <f>G47+G49+G51</f>
        <v>4031</v>
      </c>
      <c r="H44" s="1070">
        <f>IF(G43=0,0,G44/G43)</f>
        <v>0.58778069407990663</v>
      </c>
      <c r="I44" s="998">
        <f>I47+I49+I51</f>
        <v>1646.88</v>
      </c>
    </row>
    <row r="45" spans="1:9" ht="15">
      <c r="A45" s="991"/>
      <c r="B45" s="44" t="s">
        <v>1574</v>
      </c>
      <c r="C45" s="997"/>
      <c r="D45" s="1056"/>
      <c r="E45" s="1070"/>
      <c r="F45" s="1083"/>
      <c r="G45" s="1056"/>
      <c r="H45" s="1070"/>
      <c r="I45" s="999"/>
    </row>
    <row r="46" spans="1:9" ht="15">
      <c r="A46" s="991"/>
      <c r="B46" s="46" t="s">
        <v>1579</v>
      </c>
      <c r="C46" s="45" t="s">
        <v>156</v>
      </c>
      <c r="D46" s="280">
        <v>55</v>
      </c>
      <c r="E46" s="484">
        <f>D46/D43</f>
        <v>8.0362361192285216E-3</v>
      </c>
      <c r="F46" s="485">
        <v>784.6</v>
      </c>
      <c r="G46" s="280">
        <v>55</v>
      </c>
      <c r="H46" s="484">
        <f>G46/G43</f>
        <v>8.0198308544765246E-3</v>
      </c>
      <c r="I46" s="485">
        <v>784.6</v>
      </c>
    </row>
    <row r="47" spans="1:9" ht="15">
      <c r="A47" s="991"/>
      <c r="B47" s="44" t="s">
        <v>1558</v>
      </c>
      <c r="C47" s="36" t="s">
        <v>156</v>
      </c>
      <c r="D47" s="280">
        <v>40</v>
      </c>
      <c r="E47" s="484">
        <f>D47/D46</f>
        <v>0.72727272727272729</v>
      </c>
      <c r="F47" s="485">
        <v>602.1</v>
      </c>
      <c r="G47" s="280">
        <v>40</v>
      </c>
      <c r="H47" s="484">
        <f>G47/G46</f>
        <v>0.72727272727272729</v>
      </c>
      <c r="I47" s="485">
        <v>602.1</v>
      </c>
    </row>
    <row r="48" spans="1:9" ht="15">
      <c r="A48" s="991"/>
      <c r="B48" s="46" t="s">
        <v>1571</v>
      </c>
      <c r="C48" s="36" t="s">
        <v>156</v>
      </c>
      <c r="D48" s="281">
        <v>127</v>
      </c>
      <c r="E48" s="486">
        <f>D48/D43</f>
        <v>1.8556399766218586E-2</v>
      </c>
      <c r="F48" s="487">
        <v>422</v>
      </c>
      <c r="G48" s="281">
        <v>127</v>
      </c>
      <c r="H48" s="486">
        <f>G48/G43</f>
        <v>1.8518518518518517E-2</v>
      </c>
      <c r="I48" s="488">
        <v>422</v>
      </c>
    </row>
    <row r="49" spans="1:9" ht="15">
      <c r="A49" s="991"/>
      <c r="B49" s="44" t="s">
        <v>1558</v>
      </c>
      <c r="C49" s="36" t="s">
        <v>156</v>
      </c>
      <c r="D49" s="281">
        <v>107</v>
      </c>
      <c r="E49" s="486">
        <f>D49/D48</f>
        <v>0.84251968503937003</v>
      </c>
      <c r="F49" s="487">
        <v>371.8</v>
      </c>
      <c r="G49" s="281">
        <v>107</v>
      </c>
      <c r="H49" s="486">
        <f>G49/G48</f>
        <v>0.84251968503937003</v>
      </c>
      <c r="I49" s="488">
        <v>371.8</v>
      </c>
    </row>
    <row r="50" spans="1:9" ht="15">
      <c r="A50" s="991"/>
      <c r="B50" s="46" t="s">
        <v>1578</v>
      </c>
      <c r="C50" s="36" t="s">
        <v>156</v>
      </c>
      <c r="D50" s="485">
        <v>6662</v>
      </c>
      <c r="E50" s="486">
        <f>D50/D43</f>
        <v>0.97340736411455286</v>
      </c>
      <c r="F50" s="276">
        <v>1117.1690000000001</v>
      </c>
      <c r="G50" s="485">
        <f>D50+'4. Технічний стан'!E66</f>
        <v>6676</v>
      </c>
      <c r="H50" s="486">
        <f>G50/G43</f>
        <v>0.97346165062700496</v>
      </c>
      <c r="I50" s="276">
        <v>1119.829</v>
      </c>
    </row>
    <row r="51" spans="1:9" ht="15">
      <c r="A51" s="992"/>
      <c r="B51" s="44" t="s">
        <v>1558</v>
      </c>
      <c r="C51" s="36" t="s">
        <v>156</v>
      </c>
      <c r="D51" s="485">
        <v>3909</v>
      </c>
      <c r="E51" s="486">
        <f>D51/D50</f>
        <v>0.58676073251275895</v>
      </c>
      <c r="F51" s="276">
        <v>679.79700000000003</v>
      </c>
      <c r="G51" s="485">
        <v>3884</v>
      </c>
      <c r="H51" s="489">
        <f>G51/G50</f>
        <v>0.58178550029958054</v>
      </c>
      <c r="I51" s="276">
        <v>672.98</v>
      </c>
    </row>
    <row r="52" spans="1:9" ht="59.25" customHeight="1">
      <c r="A52" s="990">
        <v>6</v>
      </c>
      <c r="B52" s="46" t="s">
        <v>94</v>
      </c>
      <c r="C52" s="45" t="s">
        <v>1562</v>
      </c>
      <c r="D52" s="1063">
        <f>D57+D55</f>
        <v>43</v>
      </c>
      <c r="E52" s="1064"/>
      <c r="F52" s="1065"/>
      <c r="G52" s="1063">
        <v>42</v>
      </c>
      <c r="H52" s="1064"/>
      <c r="I52" s="1065"/>
    </row>
    <row r="53" spans="1:9" ht="15">
      <c r="A53" s="991"/>
      <c r="B53" s="44" t="s">
        <v>1559</v>
      </c>
      <c r="C53" s="996" t="s">
        <v>155</v>
      </c>
      <c r="D53" s="1055">
        <f>D58+D56</f>
        <v>14</v>
      </c>
      <c r="E53" s="1024">
        <f>IF(D52=0,0,D53/D52)</f>
        <v>0.32558139534883723</v>
      </c>
      <c r="F53" s="1024"/>
      <c r="G53" s="1055">
        <f>G58+G56</f>
        <v>13</v>
      </c>
      <c r="H53" s="1024">
        <f>IF(G52=0,0,G53/G52)</f>
        <v>0.30952380952380953</v>
      </c>
      <c r="I53" s="1024"/>
    </row>
    <row r="54" spans="1:9" ht="15">
      <c r="A54" s="991"/>
      <c r="B54" s="44" t="s">
        <v>1574</v>
      </c>
      <c r="C54" s="997"/>
      <c r="D54" s="1056"/>
      <c r="E54" s="1025"/>
      <c r="F54" s="1025"/>
      <c r="G54" s="1056"/>
      <c r="H54" s="1025"/>
      <c r="I54" s="1025"/>
    </row>
    <row r="55" spans="1:9" ht="15">
      <c r="A55" s="991"/>
      <c r="B55" s="46" t="s">
        <v>1570</v>
      </c>
      <c r="C55" s="45" t="s">
        <v>1562</v>
      </c>
      <c r="D55" s="1009">
        <v>38</v>
      </c>
      <c r="E55" s="1010"/>
      <c r="F55" s="1011"/>
      <c r="G55" s="1009">
        <v>37</v>
      </c>
      <c r="H55" s="1010"/>
      <c r="I55" s="1011"/>
    </row>
    <row r="56" spans="1:9" ht="15">
      <c r="A56" s="991"/>
      <c r="B56" s="44" t="s">
        <v>1559</v>
      </c>
      <c r="C56" s="45" t="s">
        <v>1562</v>
      </c>
      <c r="D56" s="1009">
        <v>9</v>
      </c>
      <c r="E56" s="1010"/>
      <c r="F56" s="1011"/>
      <c r="G56" s="1009">
        <v>8</v>
      </c>
      <c r="H56" s="1010"/>
      <c r="I56" s="1011"/>
    </row>
    <row r="57" spans="1:9" ht="15">
      <c r="A57" s="991"/>
      <c r="B57" s="46" t="s">
        <v>1571</v>
      </c>
      <c r="C57" s="45" t="s">
        <v>1562</v>
      </c>
      <c r="D57" s="1047">
        <v>5</v>
      </c>
      <c r="E57" s="1048"/>
      <c r="F57" s="1049"/>
      <c r="G57" s="1047">
        <v>5</v>
      </c>
      <c r="H57" s="1048"/>
      <c r="I57" s="1049"/>
    </row>
    <row r="58" spans="1:9" ht="15">
      <c r="A58" s="992"/>
      <c r="B58" s="44" t="s">
        <v>1559</v>
      </c>
      <c r="C58" s="45" t="s">
        <v>1562</v>
      </c>
      <c r="D58" s="1047">
        <v>5</v>
      </c>
      <c r="E58" s="1048"/>
      <c r="F58" s="1049"/>
      <c r="G58" s="1047">
        <v>5</v>
      </c>
      <c r="H58" s="1048"/>
      <c r="I58" s="1049"/>
    </row>
    <row r="59" spans="1:9" ht="60.75" customHeight="1">
      <c r="A59" s="1074">
        <v>7</v>
      </c>
      <c r="B59" s="46" t="s">
        <v>95</v>
      </c>
      <c r="C59" s="45" t="s">
        <v>1562</v>
      </c>
      <c r="D59" s="1063">
        <v>43</v>
      </c>
      <c r="E59" s="1064"/>
      <c r="F59" s="1065"/>
      <c r="G59" s="1063">
        <v>42</v>
      </c>
      <c r="H59" s="1064"/>
      <c r="I59" s="1065"/>
    </row>
    <row r="60" spans="1:9" ht="14.25" customHeight="1">
      <c r="A60" s="1074"/>
      <c r="B60" s="44" t="s">
        <v>1559</v>
      </c>
      <c r="C60" s="1075" t="s">
        <v>155</v>
      </c>
      <c r="D60" s="1055">
        <v>14</v>
      </c>
      <c r="E60" s="1024">
        <f>IF(D59=0,0,D60/D59)</f>
        <v>0.32558139534883723</v>
      </c>
      <c r="F60" s="1024"/>
      <c r="G60" s="1055">
        <f>G65+G63</f>
        <v>22</v>
      </c>
      <c r="H60" s="1024">
        <f>IF(G59=0,0,G60/G59)</f>
        <v>0.52380952380952384</v>
      </c>
      <c r="I60" s="1024"/>
    </row>
    <row r="61" spans="1:9" ht="15">
      <c r="A61" s="1074"/>
      <c r="B61" s="44" t="s">
        <v>1574</v>
      </c>
      <c r="C61" s="1075"/>
      <c r="D61" s="1056"/>
      <c r="E61" s="1025"/>
      <c r="F61" s="1025"/>
      <c r="G61" s="1056"/>
      <c r="H61" s="1025"/>
      <c r="I61" s="1025"/>
    </row>
    <row r="62" spans="1:9" ht="15">
      <c r="A62" s="1074"/>
      <c r="B62" s="46" t="s">
        <v>1570</v>
      </c>
      <c r="C62" s="45" t="s">
        <v>1562</v>
      </c>
      <c r="D62" s="1047">
        <v>38</v>
      </c>
      <c r="E62" s="1048"/>
      <c r="F62" s="1049"/>
      <c r="G62" s="1047">
        <v>37</v>
      </c>
      <c r="H62" s="1048"/>
      <c r="I62" s="1049"/>
    </row>
    <row r="63" spans="1:9" ht="15">
      <c r="A63" s="1074"/>
      <c r="B63" s="44" t="s">
        <v>1559</v>
      </c>
      <c r="C63" s="45" t="s">
        <v>1562</v>
      </c>
      <c r="D63" s="1047">
        <v>18</v>
      </c>
      <c r="E63" s="1048"/>
      <c r="F63" s="1049"/>
      <c r="G63" s="1047">
        <v>17</v>
      </c>
      <c r="H63" s="1048"/>
      <c r="I63" s="1049"/>
    </row>
    <row r="64" spans="1:9" ht="15">
      <c r="A64" s="1074"/>
      <c r="B64" s="46" t="s">
        <v>1571</v>
      </c>
      <c r="C64" s="45" t="s">
        <v>1562</v>
      </c>
      <c r="D64" s="1047">
        <v>5</v>
      </c>
      <c r="E64" s="1048"/>
      <c r="F64" s="1049"/>
      <c r="G64" s="1047">
        <v>5</v>
      </c>
      <c r="H64" s="1048"/>
      <c r="I64" s="1049"/>
    </row>
    <row r="65" spans="1:9" ht="15">
      <c r="A65" s="1074"/>
      <c r="B65" s="44" t="s">
        <v>1559</v>
      </c>
      <c r="C65" s="45" t="s">
        <v>1562</v>
      </c>
      <c r="D65" s="1047">
        <v>5</v>
      </c>
      <c r="E65" s="1048"/>
      <c r="F65" s="1049"/>
      <c r="G65" s="1047">
        <v>5</v>
      </c>
      <c r="H65" s="1048"/>
      <c r="I65" s="1049"/>
    </row>
    <row r="66" spans="1:9" ht="58.5" customHeight="1">
      <c r="A66" s="1074">
        <v>8</v>
      </c>
      <c r="B66" s="46" t="s">
        <v>96</v>
      </c>
      <c r="C66" s="45" t="s">
        <v>1562</v>
      </c>
      <c r="D66" s="1063">
        <f>D71+D69</f>
        <v>978</v>
      </c>
      <c r="E66" s="1064"/>
      <c r="F66" s="1065"/>
      <c r="G66" s="1063">
        <f>G71+G69</f>
        <v>989</v>
      </c>
      <c r="H66" s="1064"/>
      <c r="I66" s="1065"/>
    </row>
    <row r="67" spans="1:9" ht="15" customHeight="1">
      <c r="A67" s="1074"/>
      <c r="B67" s="44" t="s">
        <v>1559</v>
      </c>
      <c r="C67" s="1075" t="s">
        <v>155</v>
      </c>
      <c r="D67" s="1055">
        <f>D72+D70</f>
        <v>0</v>
      </c>
      <c r="E67" s="1024">
        <f>IF(D66=0,0,D67/D66)</f>
        <v>0</v>
      </c>
      <c r="F67" s="1024"/>
      <c r="G67" s="1055">
        <f>G72+G70</f>
        <v>0</v>
      </c>
      <c r="H67" s="1024">
        <f>IF(G66=0,0,G67/G66)</f>
        <v>0</v>
      </c>
      <c r="I67" s="1024"/>
    </row>
    <row r="68" spans="1:9" ht="15">
      <c r="A68" s="1074"/>
      <c r="B68" s="44" t="s">
        <v>1574</v>
      </c>
      <c r="C68" s="1075"/>
      <c r="D68" s="1056"/>
      <c r="E68" s="1025"/>
      <c r="F68" s="1025"/>
      <c r="G68" s="1056"/>
      <c r="H68" s="1025"/>
      <c r="I68" s="1025"/>
    </row>
    <row r="69" spans="1:9" ht="15">
      <c r="A69" s="1074"/>
      <c r="B69" s="46" t="s">
        <v>1570</v>
      </c>
      <c r="C69" s="45" t="s">
        <v>1562</v>
      </c>
      <c r="D69" s="1047">
        <v>291</v>
      </c>
      <c r="E69" s="1048"/>
      <c r="F69" s="1049"/>
      <c r="G69" s="1047">
        <v>295</v>
      </c>
      <c r="H69" s="1048"/>
      <c r="I69" s="1049"/>
    </row>
    <row r="70" spans="1:9" ht="15">
      <c r="A70" s="1074"/>
      <c r="B70" s="44" t="s">
        <v>1559</v>
      </c>
      <c r="C70" s="45" t="s">
        <v>1562</v>
      </c>
      <c r="D70" s="1047">
        <v>0</v>
      </c>
      <c r="E70" s="1048"/>
      <c r="F70" s="1049"/>
      <c r="G70" s="1047">
        <v>0</v>
      </c>
      <c r="H70" s="1048"/>
      <c r="I70" s="1049"/>
    </row>
    <row r="71" spans="1:9" ht="15">
      <c r="A71" s="1074"/>
      <c r="B71" s="46" t="s">
        <v>1571</v>
      </c>
      <c r="C71" s="45" t="s">
        <v>1562</v>
      </c>
      <c r="D71" s="1047">
        <v>687</v>
      </c>
      <c r="E71" s="1048"/>
      <c r="F71" s="1049"/>
      <c r="G71" s="1047">
        <v>694</v>
      </c>
      <c r="H71" s="1048"/>
      <c r="I71" s="1049"/>
    </row>
    <row r="72" spans="1:9" ht="15">
      <c r="A72" s="1074"/>
      <c r="B72" s="44" t="s">
        <v>1559</v>
      </c>
      <c r="C72" s="45" t="s">
        <v>1562</v>
      </c>
      <c r="D72" s="1047">
        <v>0</v>
      </c>
      <c r="E72" s="1048"/>
      <c r="F72" s="1049"/>
      <c r="G72" s="1047">
        <v>0</v>
      </c>
      <c r="H72" s="1048"/>
      <c r="I72" s="1049"/>
    </row>
    <row r="73" spans="1:9" ht="58.5" customHeight="1">
      <c r="A73" s="990">
        <v>9</v>
      </c>
      <c r="B73" s="46" t="s">
        <v>159</v>
      </c>
      <c r="C73" s="996" t="s">
        <v>1562</v>
      </c>
      <c r="D73" s="1057">
        <v>2463</v>
      </c>
      <c r="E73" s="1058"/>
      <c r="F73" s="1059"/>
      <c r="G73" s="1057">
        <f>G75+G83+G91</f>
        <v>2468</v>
      </c>
      <c r="H73" s="1058"/>
      <c r="I73" s="1059"/>
    </row>
    <row r="74" spans="1:9" ht="14.25" customHeight="1">
      <c r="A74" s="991"/>
      <c r="B74" s="44" t="s">
        <v>1580</v>
      </c>
      <c r="C74" s="997"/>
      <c r="D74" s="1060"/>
      <c r="E74" s="1061"/>
      <c r="F74" s="1062"/>
      <c r="G74" s="1060"/>
      <c r="H74" s="1061"/>
      <c r="I74" s="1062"/>
    </row>
    <row r="75" spans="1:9" ht="15">
      <c r="A75" s="991"/>
      <c r="B75" s="46" t="s">
        <v>99</v>
      </c>
      <c r="C75" s="45" t="s">
        <v>1562</v>
      </c>
      <c r="D75" s="1021">
        <v>55</v>
      </c>
      <c r="E75" s="1022"/>
      <c r="F75" s="1023"/>
      <c r="G75" s="1021">
        <v>57</v>
      </c>
      <c r="H75" s="1022"/>
      <c r="I75" s="1023"/>
    </row>
    <row r="76" spans="1:9" ht="15">
      <c r="A76" s="991"/>
      <c r="B76" s="44" t="s">
        <v>1581</v>
      </c>
      <c r="C76" s="45" t="s">
        <v>1562</v>
      </c>
      <c r="D76" s="1028">
        <v>44</v>
      </c>
      <c r="E76" s="1029"/>
      <c r="F76" s="1030"/>
      <c r="G76" s="1028">
        <v>43</v>
      </c>
      <c r="H76" s="1029"/>
      <c r="I76" s="1030"/>
    </row>
    <row r="77" spans="1:9" ht="15">
      <c r="A77" s="991"/>
      <c r="B77" s="44" t="s">
        <v>1568</v>
      </c>
      <c r="C77" s="45" t="s">
        <v>1562</v>
      </c>
      <c r="D77" s="1028"/>
      <c r="E77" s="1029"/>
      <c r="F77" s="1030"/>
      <c r="G77" s="1028"/>
      <c r="H77" s="1029"/>
      <c r="I77" s="1030"/>
    </row>
    <row r="78" spans="1:9" ht="15">
      <c r="A78" s="991"/>
      <c r="B78" s="44" t="s">
        <v>100</v>
      </c>
      <c r="C78" s="45" t="s">
        <v>1562</v>
      </c>
      <c r="D78" s="1028"/>
      <c r="E78" s="1029"/>
      <c r="F78" s="1030"/>
      <c r="G78" s="1028"/>
      <c r="H78" s="1029"/>
      <c r="I78" s="1030"/>
    </row>
    <row r="79" spans="1:9" ht="15">
      <c r="A79" s="991"/>
      <c r="B79" s="44" t="s">
        <v>160</v>
      </c>
      <c r="C79" s="45" t="s">
        <v>1562</v>
      </c>
      <c r="D79" s="1028"/>
      <c r="E79" s="1029"/>
      <c r="F79" s="1030"/>
      <c r="G79" s="1028"/>
      <c r="H79" s="1029"/>
      <c r="I79" s="1030"/>
    </row>
    <row r="80" spans="1:9" ht="15">
      <c r="A80" s="991"/>
      <c r="B80" s="44" t="s">
        <v>101</v>
      </c>
      <c r="C80" s="45" t="s">
        <v>1562</v>
      </c>
      <c r="D80" s="1028"/>
      <c r="E80" s="1029"/>
      <c r="F80" s="1030"/>
      <c r="G80" s="1028"/>
      <c r="H80" s="1029"/>
      <c r="I80" s="1030"/>
    </row>
    <row r="81" spans="1:9" ht="15">
      <c r="A81" s="991"/>
      <c r="B81" s="44" t="s">
        <v>102</v>
      </c>
      <c r="C81" s="45" t="s">
        <v>1562</v>
      </c>
      <c r="D81" s="1028"/>
      <c r="E81" s="1029"/>
      <c r="F81" s="1030"/>
      <c r="G81" s="1028"/>
      <c r="H81" s="1029"/>
      <c r="I81" s="1030"/>
    </row>
    <row r="82" spans="1:9" ht="15">
      <c r="A82" s="991"/>
      <c r="B82" s="44" t="s">
        <v>103</v>
      </c>
      <c r="C82" s="45" t="s">
        <v>1562</v>
      </c>
      <c r="D82" s="1028">
        <v>11</v>
      </c>
      <c r="E82" s="1029"/>
      <c r="F82" s="1030"/>
      <c r="G82" s="1028">
        <v>14</v>
      </c>
      <c r="H82" s="1029"/>
      <c r="I82" s="1030"/>
    </row>
    <row r="83" spans="1:9" ht="15">
      <c r="A83" s="991"/>
      <c r="B83" s="46" t="s">
        <v>98</v>
      </c>
      <c r="C83" s="45" t="s">
        <v>1562</v>
      </c>
      <c r="D83" s="1021">
        <f>SUM(D84:F90)</f>
        <v>306</v>
      </c>
      <c r="E83" s="1022"/>
      <c r="F83" s="1023"/>
      <c r="G83" s="1021">
        <f>G87+G84</f>
        <v>309</v>
      </c>
      <c r="H83" s="1022"/>
      <c r="I83" s="1023"/>
    </row>
    <row r="84" spans="1:9" ht="15">
      <c r="A84" s="991"/>
      <c r="B84" s="44" t="s">
        <v>1581</v>
      </c>
      <c r="C84" s="45" t="s">
        <v>1562</v>
      </c>
      <c r="D84" s="1028">
        <v>295</v>
      </c>
      <c r="E84" s="1029"/>
      <c r="F84" s="1030"/>
      <c r="G84" s="1028">
        <v>295</v>
      </c>
      <c r="H84" s="1029"/>
      <c r="I84" s="1030"/>
    </row>
    <row r="85" spans="1:9" ht="15">
      <c r="A85" s="991"/>
      <c r="B85" s="44" t="s">
        <v>1568</v>
      </c>
      <c r="C85" s="45" t="s">
        <v>1562</v>
      </c>
      <c r="D85" s="1028"/>
      <c r="E85" s="1029"/>
      <c r="F85" s="1030"/>
      <c r="G85" s="1028"/>
      <c r="H85" s="1029"/>
      <c r="I85" s="1030"/>
    </row>
    <row r="86" spans="1:9" ht="15">
      <c r="A86" s="991"/>
      <c r="B86" s="44" t="s">
        <v>100</v>
      </c>
      <c r="C86" s="45" t="s">
        <v>1562</v>
      </c>
      <c r="D86" s="1028"/>
      <c r="E86" s="1029"/>
      <c r="F86" s="1030"/>
      <c r="G86" s="1028"/>
      <c r="H86" s="1029"/>
      <c r="I86" s="1030"/>
    </row>
    <row r="87" spans="1:9" ht="15">
      <c r="A87" s="991"/>
      <c r="B87" s="44" t="s">
        <v>160</v>
      </c>
      <c r="C87" s="45" t="s">
        <v>1562</v>
      </c>
      <c r="D87" s="1028">
        <v>11</v>
      </c>
      <c r="E87" s="1029"/>
      <c r="F87" s="1030"/>
      <c r="G87" s="1028">
        <v>14</v>
      </c>
      <c r="H87" s="1029"/>
      <c r="I87" s="1030"/>
    </row>
    <row r="88" spans="1:9" ht="15">
      <c r="A88" s="991"/>
      <c r="B88" s="44" t="s">
        <v>101</v>
      </c>
      <c r="C88" s="45" t="s">
        <v>1562</v>
      </c>
      <c r="D88" s="1028"/>
      <c r="E88" s="1029"/>
      <c r="F88" s="1030"/>
      <c r="G88" s="1028"/>
      <c r="H88" s="1029"/>
      <c r="I88" s="1030"/>
    </row>
    <row r="89" spans="1:9" ht="15">
      <c r="A89" s="991"/>
      <c r="B89" s="44" t="s">
        <v>102</v>
      </c>
      <c r="C89" s="45" t="s">
        <v>1562</v>
      </c>
      <c r="D89" s="1028"/>
      <c r="E89" s="1029"/>
      <c r="F89" s="1030"/>
      <c r="G89" s="1028"/>
      <c r="H89" s="1029"/>
      <c r="I89" s="1030"/>
    </row>
    <row r="90" spans="1:9" ht="15">
      <c r="A90" s="991"/>
      <c r="B90" s="44" t="s">
        <v>103</v>
      </c>
      <c r="C90" s="45" t="s">
        <v>1562</v>
      </c>
      <c r="D90" s="1028"/>
      <c r="E90" s="1029"/>
      <c r="F90" s="1030"/>
      <c r="G90" s="1028"/>
      <c r="H90" s="1029"/>
      <c r="I90" s="1030"/>
    </row>
    <row r="91" spans="1:9" ht="15">
      <c r="A91" s="991"/>
      <c r="B91" s="46" t="s">
        <v>97</v>
      </c>
      <c r="C91" s="45" t="s">
        <v>1562</v>
      </c>
      <c r="D91" s="1021">
        <f>SUM(D92:F98)</f>
        <v>2102</v>
      </c>
      <c r="E91" s="1022"/>
      <c r="F91" s="1023"/>
      <c r="G91" s="1021">
        <f>G92+G94+G95</f>
        <v>2102</v>
      </c>
      <c r="H91" s="1022"/>
      <c r="I91" s="1023"/>
    </row>
    <row r="92" spans="1:9" ht="15">
      <c r="A92" s="991"/>
      <c r="B92" s="44" t="s">
        <v>1581</v>
      </c>
      <c r="C92" s="45" t="s">
        <v>1562</v>
      </c>
      <c r="D92" s="1047">
        <v>1679</v>
      </c>
      <c r="E92" s="1048"/>
      <c r="F92" s="1049"/>
      <c r="G92" s="1028">
        <f>D92</f>
        <v>1679</v>
      </c>
      <c r="H92" s="1029"/>
      <c r="I92" s="1030"/>
    </row>
    <row r="93" spans="1:9" ht="15">
      <c r="A93" s="991"/>
      <c r="B93" s="44" t="s">
        <v>1568</v>
      </c>
      <c r="C93" s="45" t="s">
        <v>1562</v>
      </c>
      <c r="D93" s="1028"/>
      <c r="E93" s="1029"/>
      <c r="F93" s="1030"/>
      <c r="G93" s="1028"/>
      <c r="H93" s="1029"/>
      <c r="I93" s="1030"/>
    </row>
    <row r="94" spans="1:9" ht="15">
      <c r="A94" s="991"/>
      <c r="B94" s="44" t="s">
        <v>100</v>
      </c>
      <c r="C94" s="45" t="s">
        <v>1562</v>
      </c>
      <c r="D94" s="1009">
        <v>25</v>
      </c>
      <c r="E94" s="1031"/>
      <c r="F94" s="1032"/>
      <c r="G94" s="1009">
        <v>25</v>
      </c>
      <c r="H94" s="1031"/>
      <c r="I94" s="1032"/>
    </row>
    <row r="95" spans="1:9" ht="15">
      <c r="A95" s="991"/>
      <c r="B95" s="44" t="s">
        <v>160</v>
      </c>
      <c r="C95" s="45" t="s">
        <v>1562</v>
      </c>
      <c r="D95" s="1009">
        <v>398</v>
      </c>
      <c r="E95" s="1010"/>
      <c r="F95" s="1011"/>
      <c r="G95" s="1028">
        <f>D95</f>
        <v>398</v>
      </c>
      <c r="H95" s="1029"/>
      <c r="I95" s="1030"/>
    </row>
    <row r="96" spans="1:9" ht="15">
      <c r="A96" s="991"/>
      <c r="B96" s="44" t="s">
        <v>101</v>
      </c>
      <c r="C96" s="45" t="s">
        <v>1562</v>
      </c>
      <c r="D96" s="1028"/>
      <c r="E96" s="1029"/>
      <c r="F96" s="1030"/>
      <c r="G96" s="1028"/>
      <c r="H96" s="1029"/>
      <c r="I96" s="1030"/>
    </row>
    <row r="97" spans="1:9" ht="15">
      <c r="A97" s="991"/>
      <c r="B97" s="44" t="s">
        <v>102</v>
      </c>
      <c r="C97" s="45" t="s">
        <v>1562</v>
      </c>
      <c r="D97" s="1028"/>
      <c r="E97" s="1029"/>
      <c r="F97" s="1030"/>
      <c r="G97" s="1028"/>
      <c r="H97" s="1029"/>
      <c r="I97" s="1030"/>
    </row>
    <row r="98" spans="1:9" ht="15">
      <c r="A98" s="992"/>
      <c r="B98" s="44" t="s">
        <v>103</v>
      </c>
      <c r="C98" s="45" t="s">
        <v>1562</v>
      </c>
      <c r="D98" s="1028"/>
      <c r="E98" s="1029"/>
      <c r="F98" s="1030"/>
      <c r="G98" s="1028"/>
      <c r="H98" s="1029"/>
      <c r="I98" s="1030"/>
    </row>
    <row r="99" spans="1:9" ht="32.25" customHeight="1">
      <c r="A99" s="990">
        <v>10</v>
      </c>
      <c r="B99" s="46" t="s">
        <v>29</v>
      </c>
      <c r="C99" s="996" t="s">
        <v>155</v>
      </c>
      <c r="D99" s="1090">
        <f>D101+D102+D103</f>
        <v>721</v>
      </c>
      <c r="E99" s="1045">
        <f>IF(D73=0,0,D99/D73)</f>
        <v>0.29273244011368249</v>
      </c>
      <c r="F99" s="1045"/>
      <c r="G99" s="1090">
        <f>G101+G102+G103</f>
        <v>720</v>
      </c>
      <c r="H99" s="1045">
        <f>IF(G73=0,0,G99/G73)</f>
        <v>0.29173419773095621</v>
      </c>
      <c r="I99" s="1045"/>
    </row>
    <row r="100" spans="1:9" ht="14.25" customHeight="1">
      <c r="A100" s="991"/>
      <c r="B100" s="44" t="s">
        <v>1574</v>
      </c>
      <c r="C100" s="997"/>
      <c r="D100" s="1091"/>
      <c r="E100" s="1046"/>
      <c r="F100" s="1046"/>
      <c r="G100" s="1091"/>
      <c r="H100" s="1046"/>
      <c r="I100" s="1046"/>
    </row>
    <row r="101" spans="1:9" ht="15">
      <c r="A101" s="991"/>
      <c r="B101" s="46" t="s">
        <v>1570</v>
      </c>
      <c r="C101" s="45" t="s">
        <v>155</v>
      </c>
      <c r="D101" s="485">
        <v>20</v>
      </c>
      <c r="E101" s="1037">
        <f>D101/D75</f>
        <v>0.36363636363636365</v>
      </c>
      <c r="F101" s="1038"/>
      <c r="G101" s="485">
        <v>19</v>
      </c>
      <c r="H101" s="1037">
        <f>G101/G75</f>
        <v>0.33333333333333331</v>
      </c>
      <c r="I101" s="1038"/>
    </row>
    <row r="102" spans="1:9" ht="15">
      <c r="A102" s="991"/>
      <c r="B102" s="46" t="s">
        <v>1571</v>
      </c>
      <c r="C102" s="45" t="s">
        <v>155</v>
      </c>
      <c r="D102" s="485">
        <v>174</v>
      </c>
      <c r="E102" s="1037">
        <f>D102/D83</f>
        <v>0.56862745098039214</v>
      </c>
      <c r="F102" s="1038"/>
      <c r="G102" s="485">
        <v>174</v>
      </c>
      <c r="H102" s="1037">
        <f>G102/G83</f>
        <v>0.56310679611650483</v>
      </c>
      <c r="I102" s="1038"/>
    </row>
    <row r="103" spans="1:9" ht="15">
      <c r="A103" s="992"/>
      <c r="B103" s="46" t="s">
        <v>1367</v>
      </c>
      <c r="C103" s="45" t="s">
        <v>155</v>
      </c>
      <c r="D103" s="485">
        <v>527</v>
      </c>
      <c r="E103" s="1037">
        <f>D103/D91</f>
        <v>0.25071360608943866</v>
      </c>
      <c r="F103" s="1038"/>
      <c r="G103" s="491">
        <v>527</v>
      </c>
      <c r="H103" s="1037">
        <f>G103/G91</f>
        <v>0.25071360608943866</v>
      </c>
      <c r="I103" s="1038"/>
    </row>
    <row r="104" spans="1:9" ht="62.25" customHeight="1">
      <c r="A104" s="990">
        <v>11</v>
      </c>
      <c r="B104" s="46" t="s">
        <v>24</v>
      </c>
      <c r="C104" s="996" t="s">
        <v>1562</v>
      </c>
      <c r="D104" s="1084">
        <f>SUM(D106:F108)</f>
        <v>0</v>
      </c>
      <c r="E104" s="1085"/>
      <c r="F104" s="1086"/>
      <c r="G104" s="1084">
        <v>0</v>
      </c>
      <c r="H104" s="1085"/>
      <c r="I104" s="1086"/>
    </row>
    <row r="105" spans="1:9" ht="15">
      <c r="A105" s="991"/>
      <c r="B105" s="44" t="s">
        <v>1574</v>
      </c>
      <c r="C105" s="997"/>
      <c r="D105" s="1087"/>
      <c r="E105" s="1088"/>
      <c r="F105" s="1089"/>
      <c r="G105" s="1087"/>
      <c r="H105" s="1088"/>
      <c r="I105" s="1089"/>
    </row>
    <row r="106" spans="1:9" ht="15">
      <c r="A106" s="991"/>
      <c r="B106" s="46" t="s">
        <v>1570</v>
      </c>
      <c r="C106" s="45" t="s">
        <v>1562</v>
      </c>
      <c r="D106" s="1028">
        <v>0</v>
      </c>
      <c r="E106" s="1029"/>
      <c r="F106" s="1030"/>
      <c r="G106" s="1028">
        <v>0</v>
      </c>
      <c r="H106" s="1029"/>
      <c r="I106" s="1030"/>
    </row>
    <row r="107" spans="1:9" ht="15">
      <c r="A107" s="991"/>
      <c r="B107" s="46" t="s">
        <v>1571</v>
      </c>
      <c r="C107" s="45" t="s">
        <v>1562</v>
      </c>
      <c r="D107" s="1028">
        <v>0</v>
      </c>
      <c r="E107" s="1029"/>
      <c r="F107" s="1030"/>
      <c r="G107" s="1028">
        <v>0</v>
      </c>
      <c r="H107" s="1029"/>
      <c r="I107" s="1030"/>
    </row>
    <row r="108" spans="1:9" ht="15">
      <c r="A108" s="992"/>
      <c r="B108" s="46" t="s">
        <v>1367</v>
      </c>
      <c r="C108" s="45" t="s">
        <v>1562</v>
      </c>
      <c r="D108" s="1028">
        <v>0</v>
      </c>
      <c r="E108" s="1029"/>
      <c r="F108" s="1030"/>
      <c r="G108" s="1028">
        <v>0</v>
      </c>
      <c r="H108" s="1029"/>
      <c r="I108" s="1030"/>
    </row>
    <row r="109" spans="1:9" ht="30" customHeight="1">
      <c r="A109" s="990">
        <v>12</v>
      </c>
      <c r="B109" s="46" t="s">
        <v>1368</v>
      </c>
      <c r="C109" s="45" t="s">
        <v>154</v>
      </c>
      <c r="D109" s="492">
        <f>D112+D116</f>
        <v>5836</v>
      </c>
      <c r="E109" s="1019">
        <v>1117.1690000000001</v>
      </c>
      <c r="F109" s="1020"/>
      <c r="G109" s="492">
        <f>G112+G116</f>
        <v>5850</v>
      </c>
      <c r="H109" s="1019">
        <v>1119.1089999999999</v>
      </c>
      <c r="I109" s="1020"/>
    </row>
    <row r="110" spans="1:9" ht="15">
      <c r="A110" s="991"/>
      <c r="B110" s="44" t="s">
        <v>1558</v>
      </c>
      <c r="C110" s="996" t="s">
        <v>155</v>
      </c>
      <c r="D110" s="1026">
        <v>3621</v>
      </c>
      <c r="E110" s="1024">
        <f>IF(D109=0,0,D110/D109)</f>
        <v>0.6204592186429061</v>
      </c>
      <c r="F110" s="1024"/>
      <c r="G110" s="1026">
        <v>3694</v>
      </c>
      <c r="H110" s="1024">
        <f>IF(G109=0,0,G110/G109)</f>
        <v>0.6314529914529915</v>
      </c>
      <c r="I110" s="1024"/>
    </row>
    <row r="111" spans="1:9" ht="15">
      <c r="A111" s="991"/>
      <c r="B111" s="44" t="s">
        <v>1574</v>
      </c>
      <c r="C111" s="997"/>
      <c r="D111" s="1027"/>
      <c r="E111" s="1025"/>
      <c r="F111" s="1025"/>
      <c r="G111" s="1027"/>
      <c r="H111" s="1025"/>
      <c r="I111" s="1025"/>
    </row>
    <row r="112" spans="1:9" ht="15">
      <c r="A112" s="991"/>
      <c r="B112" s="44" t="s">
        <v>1629</v>
      </c>
      <c r="C112" s="45" t="s">
        <v>155</v>
      </c>
      <c r="D112" s="483">
        <f>D113+D114</f>
        <v>4575</v>
      </c>
      <c r="E112" s="1017">
        <f>IF(D109=0,0,D112/D109)</f>
        <v>0.78392734749828652</v>
      </c>
      <c r="F112" s="1018"/>
      <c r="G112" s="483">
        <f>G113+G114</f>
        <v>4589</v>
      </c>
      <c r="H112" s="1017">
        <f>IF(G109=0,0,G112/G109)</f>
        <v>0.7844444444444445</v>
      </c>
      <c r="I112" s="1018"/>
    </row>
    <row r="113" spans="1:9" ht="15">
      <c r="A113" s="991"/>
      <c r="B113" s="44" t="s">
        <v>1631</v>
      </c>
      <c r="C113" s="45" t="s">
        <v>155</v>
      </c>
      <c r="D113" s="485">
        <v>4570</v>
      </c>
      <c r="E113" s="1017">
        <f>IF(D112=0,0,D113/D112)</f>
        <v>0.99890710382513659</v>
      </c>
      <c r="F113" s="1018"/>
      <c r="G113" s="485">
        <f>D113+'4. Технічний стан'!E53</f>
        <v>4584</v>
      </c>
      <c r="H113" s="1017">
        <f>IF(G112=0,0,G113/G112)</f>
        <v>0.99891043800392243</v>
      </c>
      <c r="I113" s="1018"/>
    </row>
    <row r="114" spans="1:9" ht="15">
      <c r="A114" s="991"/>
      <c r="B114" s="44" t="s">
        <v>1632</v>
      </c>
      <c r="C114" s="45" t="s">
        <v>155</v>
      </c>
      <c r="D114" s="485">
        <v>5</v>
      </c>
      <c r="E114" s="1017">
        <f>IF(D113=0,0,D114/D113)</f>
        <v>1.0940919037199124E-3</v>
      </c>
      <c r="F114" s="1018"/>
      <c r="G114" s="485">
        <v>5</v>
      </c>
      <c r="H114" s="1017">
        <f>IF(G113=0,0,G114/G113)</f>
        <v>1.0907504363001745E-3</v>
      </c>
      <c r="I114" s="1018"/>
    </row>
    <row r="115" spans="1:9" ht="15">
      <c r="A115" s="991"/>
      <c r="B115" s="44" t="s">
        <v>1633</v>
      </c>
      <c r="C115" s="45" t="s">
        <v>155</v>
      </c>
      <c r="D115" s="485">
        <v>1</v>
      </c>
      <c r="E115" s="1017">
        <f>IF(D112=0,0,D115/D112)</f>
        <v>2.185792349726776E-4</v>
      </c>
      <c r="F115" s="1018"/>
      <c r="G115" s="485">
        <v>1</v>
      </c>
      <c r="H115" s="1017">
        <f>IF(G112=0,0,G115/G112)</f>
        <v>2.1791239921551536E-4</v>
      </c>
      <c r="I115" s="1018"/>
    </row>
    <row r="116" spans="1:9" ht="15">
      <c r="A116" s="991"/>
      <c r="B116" s="44" t="s">
        <v>1630</v>
      </c>
      <c r="C116" s="45" t="s">
        <v>155</v>
      </c>
      <c r="D116" s="483">
        <f>D117+D118</f>
        <v>1261</v>
      </c>
      <c r="E116" s="1017">
        <f>IF(D109=0,0,D116/D109)</f>
        <v>0.21607265250171351</v>
      </c>
      <c r="F116" s="1018"/>
      <c r="G116" s="483">
        <f>G117+G118</f>
        <v>1261</v>
      </c>
      <c r="H116" s="1017">
        <f>IF(G109=0,0,G116/G109)</f>
        <v>0.21555555555555556</v>
      </c>
      <c r="I116" s="1018"/>
    </row>
    <row r="117" spans="1:9" ht="15">
      <c r="A117" s="991"/>
      <c r="B117" s="44" t="s">
        <v>1631</v>
      </c>
      <c r="C117" s="45" t="s">
        <v>155</v>
      </c>
      <c r="D117" s="485">
        <v>443</v>
      </c>
      <c r="E117" s="1017">
        <f>IF(D116=0,0,D117/D116)</f>
        <v>0.35130848532910386</v>
      </c>
      <c r="F117" s="1018"/>
      <c r="G117" s="485">
        <v>443</v>
      </c>
      <c r="H117" s="1017">
        <f>IF(G116=0,0,G117/G116)</f>
        <v>0.35130848532910386</v>
      </c>
      <c r="I117" s="1018"/>
    </row>
    <row r="118" spans="1:9" ht="15">
      <c r="A118" s="991"/>
      <c r="B118" s="44" t="s">
        <v>1633</v>
      </c>
      <c r="C118" s="45" t="s">
        <v>155</v>
      </c>
      <c r="D118" s="485">
        <v>818</v>
      </c>
      <c r="E118" s="1017">
        <f>IF(D116=0,0,D118/D116)</f>
        <v>0.64869151467089614</v>
      </c>
      <c r="F118" s="1018"/>
      <c r="G118" s="485">
        <v>818</v>
      </c>
      <c r="H118" s="1017">
        <f>IF(G116=0,0,G118/G116)</f>
        <v>0.64869151467089614</v>
      </c>
      <c r="I118" s="1018"/>
    </row>
    <row r="119" spans="1:9" ht="15">
      <c r="A119" s="990">
        <v>13</v>
      </c>
      <c r="B119" s="46" t="s">
        <v>25</v>
      </c>
      <c r="C119" s="45" t="s">
        <v>1562</v>
      </c>
      <c r="D119" s="1033">
        <v>27</v>
      </c>
      <c r="E119" s="1034"/>
      <c r="F119" s="1035"/>
      <c r="G119" s="1033">
        <v>27</v>
      </c>
      <c r="H119" s="1034"/>
      <c r="I119" s="1035"/>
    </row>
    <row r="120" spans="1:9" ht="15">
      <c r="A120" s="992"/>
      <c r="B120" s="44" t="s">
        <v>1558</v>
      </c>
      <c r="C120" s="45" t="s">
        <v>155</v>
      </c>
      <c r="D120" s="485">
        <v>21</v>
      </c>
      <c r="E120" s="1017">
        <f>IF(D119=0,0,D120/D119)</f>
        <v>0.77777777777777779</v>
      </c>
      <c r="F120" s="1018"/>
      <c r="G120" s="485">
        <v>21</v>
      </c>
      <c r="H120" s="1017">
        <f>IF(G119=0,0,G120/G119)</f>
        <v>0.77777777777777779</v>
      </c>
      <c r="I120" s="1018"/>
    </row>
    <row r="121" spans="1:9" ht="27.75" customHeight="1">
      <c r="A121" s="990">
        <v>14</v>
      </c>
      <c r="B121" s="46" t="s">
        <v>1369</v>
      </c>
      <c r="C121" s="996" t="s">
        <v>1562</v>
      </c>
      <c r="D121" s="1039">
        <f>D123+D124+D125</f>
        <v>557</v>
      </c>
      <c r="E121" s="1040"/>
      <c r="F121" s="1041"/>
      <c r="G121" s="1039">
        <f>G123+G124+G125</f>
        <v>557</v>
      </c>
      <c r="H121" s="1040"/>
      <c r="I121" s="1041"/>
    </row>
    <row r="122" spans="1:9" ht="14.25" customHeight="1">
      <c r="A122" s="991"/>
      <c r="B122" s="44" t="s">
        <v>1574</v>
      </c>
      <c r="C122" s="997"/>
      <c r="D122" s="1042"/>
      <c r="E122" s="1043"/>
      <c r="F122" s="1044"/>
      <c r="G122" s="1042"/>
      <c r="H122" s="1043"/>
      <c r="I122" s="1044"/>
    </row>
    <row r="123" spans="1:9" ht="30">
      <c r="A123" s="991"/>
      <c r="B123" s="44" t="s">
        <v>1370</v>
      </c>
      <c r="C123" s="45" t="s">
        <v>155</v>
      </c>
      <c r="D123" s="485">
        <v>328</v>
      </c>
      <c r="E123" s="1017">
        <f>IF(D121=0,0,D123/D121)</f>
        <v>0.5888689407540395</v>
      </c>
      <c r="F123" s="1018"/>
      <c r="G123" s="485">
        <v>328</v>
      </c>
      <c r="H123" s="1017">
        <f>IF(G121=0,0,G123/G121)</f>
        <v>0.5888689407540395</v>
      </c>
      <c r="I123" s="1018"/>
    </row>
    <row r="124" spans="1:9" ht="19.5" customHeight="1">
      <c r="A124" s="991"/>
      <c r="B124" s="44" t="s">
        <v>1637</v>
      </c>
      <c r="C124" s="45" t="s">
        <v>155</v>
      </c>
      <c r="D124" s="485">
        <v>220</v>
      </c>
      <c r="E124" s="1017">
        <f>IF(D121=0,0,D124/D121)</f>
        <v>0.39497307001795334</v>
      </c>
      <c r="F124" s="1018"/>
      <c r="G124" s="485">
        <v>220</v>
      </c>
      <c r="H124" s="1017">
        <f>IF(G121=0,0,G124/G121)</f>
        <v>0.39497307001795334</v>
      </c>
      <c r="I124" s="1018"/>
    </row>
    <row r="125" spans="1:9" ht="30">
      <c r="A125" s="992"/>
      <c r="B125" s="44" t="s">
        <v>1371</v>
      </c>
      <c r="C125" s="45" t="s">
        <v>155</v>
      </c>
      <c r="D125" s="485">
        <v>9</v>
      </c>
      <c r="E125" s="1017">
        <f>IF(D121=0,0,D125/D121)</f>
        <v>1.615798922800718E-2</v>
      </c>
      <c r="F125" s="1018"/>
      <c r="G125" s="485">
        <v>9</v>
      </c>
      <c r="H125" s="1017">
        <f>IF(G121=0,0,G125/G121)</f>
        <v>1.615798922800718E-2</v>
      </c>
      <c r="I125" s="1018"/>
    </row>
    <row r="126" spans="1:9" ht="45" customHeight="1">
      <c r="A126" s="990">
        <v>15</v>
      </c>
      <c r="B126" s="46" t="s">
        <v>26</v>
      </c>
      <c r="C126" s="45" t="s">
        <v>1562</v>
      </c>
      <c r="D126" s="1033">
        <v>7177</v>
      </c>
      <c r="E126" s="1034"/>
      <c r="F126" s="1035"/>
      <c r="G126" s="1033">
        <v>7191</v>
      </c>
      <c r="H126" s="1034"/>
      <c r="I126" s="1035"/>
    </row>
    <row r="127" spans="1:9" ht="15">
      <c r="A127" s="992"/>
      <c r="B127" s="44" t="s">
        <v>1559</v>
      </c>
      <c r="C127" s="45" t="s">
        <v>155</v>
      </c>
      <c r="D127" s="485">
        <v>695</v>
      </c>
      <c r="E127" s="1017">
        <f>IF(D126=0,0,D127/D126)</f>
        <v>9.6837118573220013E-2</v>
      </c>
      <c r="F127" s="1018"/>
      <c r="G127" s="485">
        <v>692</v>
      </c>
      <c r="H127" s="1017">
        <f>IF(G126=0,0,G127/G126)</f>
        <v>9.6231400361563066E-2</v>
      </c>
      <c r="I127" s="1018"/>
    </row>
    <row r="128" spans="1:9" ht="28.5" customHeight="1">
      <c r="A128" s="990">
        <v>16</v>
      </c>
      <c r="B128" s="46" t="s">
        <v>104</v>
      </c>
      <c r="C128" s="45" t="s">
        <v>1562</v>
      </c>
      <c r="D128" s="1033">
        <v>3987</v>
      </c>
      <c r="E128" s="1034"/>
      <c r="F128" s="1035"/>
      <c r="G128" s="1033">
        <v>3987</v>
      </c>
      <c r="H128" s="1034"/>
      <c r="I128" s="1035"/>
    </row>
    <row r="129" spans="1:9" ht="15">
      <c r="A129" s="992"/>
      <c r="B129" s="44" t="s">
        <v>1559</v>
      </c>
      <c r="C129" s="45" t="s">
        <v>155</v>
      </c>
      <c r="D129" s="485">
        <v>386</v>
      </c>
      <c r="E129" s="1017">
        <f>IF(D128=0,0,D129/D128)</f>
        <v>9.6814647604715323E-2</v>
      </c>
      <c r="F129" s="1018"/>
      <c r="G129" s="485">
        <v>386</v>
      </c>
      <c r="H129" s="1017">
        <f>IF(G128=0,0,G129/G128)</f>
        <v>9.6814647604715323E-2</v>
      </c>
      <c r="I129" s="1018"/>
    </row>
    <row r="130" spans="1:9" ht="27.75" customHeight="1">
      <c r="A130" s="990">
        <v>17</v>
      </c>
      <c r="B130" s="46" t="s">
        <v>206</v>
      </c>
      <c r="C130" s="45" t="s">
        <v>1553</v>
      </c>
      <c r="D130" s="1006">
        <v>1395.2</v>
      </c>
      <c r="E130" s="1036"/>
      <c r="F130" s="1007"/>
      <c r="G130" s="1006">
        <f>G134+G133</f>
        <v>1395.2</v>
      </c>
      <c r="H130" s="1036"/>
      <c r="I130" s="1007"/>
    </row>
    <row r="131" spans="1:9" ht="28.5" customHeight="1">
      <c r="A131" s="991"/>
      <c r="B131" s="44" t="s">
        <v>1561</v>
      </c>
      <c r="C131" s="996" t="s">
        <v>153</v>
      </c>
      <c r="D131" s="1053">
        <v>14.9</v>
      </c>
      <c r="E131" s="1024">
        <f>IF(D130=0,0,D131/D130)</f>
        <v>1.067947247706422E-2</v>
      </c>
      <c r="F131" s="1024"/>
      <c r="G131" s="1053">
        <v>14.9</v>
      </c>
      <c r="H131" s="1024">
        <f>IF(G130=0,0,G131/G130)</f>
        <v>1.067947247706422E-2</v>
      </c>
      <c r="I131" s="1024"/>
    </row>
    <row r="132" spans="1:9" ht="14.25" customHeight="1">
      <c r="A132" s="991"/>
      <c r="B132" s="44" t="s">
        <v>1574</v>
      </c>
      <c r="C132" s="997"/>
      <c r="D132" s="1054"/>
      <c r="E132" s="1025"/>
      <c r="F132" s="1025"/>
      <c r="G132" s="1054"/>
      <c r="H132" s="1025"/>
      <c r="I132" s="1025"/>
    </row>
    <row r="133" spans="1:9" ht="15">
      <c r="A133" s="991"/>
      <c r="B133" s="46" t="s">
        <v>1597</v>
      </c>
      <c r="C133" s="45" t="s">
        <v>153</v>
      </c>
      <c r="D133" s="268">
        <v>1112</v>
      </c>
      <c r="E133" s="1017">
        <f>IF(D128=0,0,D133/D128)</f>
        <v>0.27890644594933534</v>
      </c>
      <c r="F133" s="1018"/>
      <c r="G133" s="268">
        <v>1112</v>
      </c>
      <c r="H133" s="1017">
        <f>IF(G128=0,0,G133/G128)</f>
        <v>0.27890644594933534</v>
      </c>
      <c r="I133" s="1018"/>
    </row>
    <row r="134" spans="1:9" ht="15">
      <c r="A134" s="992"/>
      <c r="B134" s="46" t="s">
        <v>1596</v>
      </c>
      <c r="C134" s="45" t="s">
        <v>153</v>
      </c>
      <c r="D134" s="268">
        <v>283.2</v>
      </c>
      <c r="E134" s="1017">
        <f>IF(D130=0,0,D134/D130)</f>
        <v>0.20298165137614677</v>
      </c>
      <c r="F134" s="1018"/>
      <c r="G134" s="268">
        <v>283.2</v>
      </c>
      <c r="H134" s="1017">
        <f>IF(G130=0,0,G134/G130)</f>
        <v>0.20298165137614677</v>
      </c>
      <c r="I134" s="1018"/>
    </row>
    <row r="135" spans="1:9" ht="28.5">
      <c r="A135" s="990">
        <v>18</v>
      </c>
      <c r="B135" s="46" t="s">
        <v>190</v>
      </c>
      <c r="C135" s="996" t="s">
        <v>1562</v>
      </c>
      <c r="D135" s="1039">
        <f>SUM(D137:F139)</f>
        <v>1775</v>
      </c>
      <c r="E135" s="1040"/>
      <c r="F135" s="1041"/>
      <c r="G135" s="1039">
        <f>G137+G138+G139</f>
        <v>1799</v>
      </c>
      <c r="H135" s="1040"/>
      <c r="I135" s="1041"/>
    </row>
    <row r="136" spans="1:9" ht="13.5" customHeight="1">
      <c r="A136" s="991"/>
      <c r="B136" s="44" t="s">
        <v>1574</v>
      </c>
      <c r="C136" s="997"/>
      <c r="D136" s="1042"/>
      <c r="E136" s="1043"/>
      <c r="F136" s="1044"/>
      <c r="G136" s="1042"/>
      <c r="H136" s="1043"/>
      <c r="I136" s="1044"/>
    </row>
    <row r="137" spans="1:9" ht="15">
      <c r="A137" s="991"/>
      <c r="B137" s="44" t="s">
        <v>1570</v>
      </c>
      <c r="C137" s="45" t="s">
        <v>1562</v>
      </c>
      <c r="D137" s="1050">
        <v>218</v>
      </c>
      <c r="E137" s="1051"/>
      <c r="F137" s="1052"/>
      <c r="G137" s="1047">
        <v>226</v>
      </c>
      <c r="H137" s="1048"/>
      <c r="I137" s="1049"/>
    </row>
    <row r="138" spans="1:9" ht="15">
      <c r="A138" s="991"/>
      <c r="B138" s="44" t="s">
        <v>1571</v>
      </c>
      <c r="C138" s="45" t="s">
        <v>1562</v>
      </c>
      <c r="D138" s="1050">
        <v>522</v>
      </c>
      <c r="E138" s="1051"/>
      <c r="F138" s="1052"/>
      <c r="G138" s="1050">
        <v>534</v>
      </c>
      <c r="H138" s="1051"/>
      <c r="I138" s="1052"/>
    </row>
    <row r="139" spans="1:9" ht="15">
      <c r="A139" s="992"/>
      <c r="B139" s="44" t="s">
        <v>1367</v>
      </c>
      <c r="C139" s="45" t="s">
        <v>1562</v>
      </c>
      <c r="D139" s="1050">
        <v>1035</v>
      </c>
      <c r="E139" s="1051"/>
      <c r="F139" s="1052"/>
      <c r="G139" s="1047">
        <v>1039</v>
      </c>
      <c r="H139" s="1048"/>
      <c r="I139" s="1049"/>
    </row>
    <row r="140" spans="1:9">
      <c r="A140" s="171"/>
      <c r="B140" s="171"/>
      <c r="C140" s="171"/>
      <c r="D140" s="171"/>
      <c r="E140" s="171"/>
      <c r="F140" s="171"/>
      <c r="G140" s="171"/>
      <c r="H140" s="171"/>
      <c r="I140" s="171"/>
    </row>
  </sheetData>
  <mergeCells count="287">
    <mergeCell ref="G108:I108"/>
    <mergeCell ref="G90:I90"/>
    <mergeCell ref="G97:I97"/>
    <mergeCell ref="G56:I56"/>
    <mergeCell ref="D64:F64"/>
    <mergeCell ref="D67:D68"/>
    <mergeCell ref="G65:I65"/>
    <mergeCell ref="D62:F62"/>
    <mergeCell ref="G57:I57"/>
    <mergeCell ref="D65:F65"/>
    <mergeCell ref="H60:I61"/>
    <mergeCell ref="G59:I59"/>
    <mergeCell ref="G60:G61"/>
    <mergeCell ref="H103:I103"/>
    <mergeCell ref="D107:F107"/>
    <mergeCell ref="G107:I107"/>
    <mergeCell ref="D83:F83"/>
    <mergeCell ref="D85:F85"/>
    <mergeCell ref="D87:F87"/>
    <mergeCell ref="D86:F86"/>
    <mergeCell ref="D76:F76"/>
    <mergeCell ref="D92:F92"/>
    <mergeCell ref="G77:I77"/>
    <mergeCell ref="H101:I101"/>
    <mergeCell ref="G79:I79"/>
    <mergeCell ref="D80:F80"/>
    <mergeCell ref="G80:I80"/>
    <mergeCell ref="D77:F77"/>
    <mergeCell ref="D96:F96"/>
    <mergeCell ref="D84:F84"/>
    <mergeCell ref="A73:A98"/>
    <mergeCell ref="C73:C74"/>
    <mergeCell ref="G96:I96"/>
    <mergeCell ref="G93:I93"/>
    <mergeCell ref="G104:I105"/>
    <mergeCell ref="H102:I102"/>
    <mergeCell ref="H99:I100"/>
    <mergeCell ref="G99:G100"/>
    <mergeCell ref="D70:F70"/>
    <mergeCell ref="A109:A118"/>
    <mergeCell ref="E103:F103"/>
    <mergeCell ref="D91:F91"/>
    <mergeCell ref="D97:F97"/>
    <mergeCell ref="E114:F114"/>
    <mergeCell ref="E112:F112"/>
    <mergeCell ref="D104:F105"/>
    <mergeCell ref="E102:F102"/>
    <mergeCell ref="D95:F95"/>
    <mergeCell ref="D99:D100"/>
    <mergeCell ref="H112:I112"/>
    <mergeCell ref="E117:F117"/>
    <mergeCell ref="H114:I114"/>
    <mergeCell ref="A66:A72"/>
    <mergeCell ref="D66:F66"/>
    <mergeCell ref="C67:C68"/>
    <mergeCell ref="E67:F68"/>
    <mergeCell ref="D72:F72"/>
    <mergeCell ref="D71:F71"/>
    <mergeCell ref="A32:A36"/>
    <mergeCell ref="G44:G45"/>
    <mergeCell ref="G19:I19"/>
    <mergeCell ref="H20:I20"/>
    <mergeCell ref="E16:F16"/>
    <mergeCell ref="E17:F17"/>
    <mergeCell ref="E21:F21"/>
    <mergeCell ref="H21:I21"/>
    <mergeCell ref="A37:A42"/>
    <mergeCell ref="E44:E45"/>
    <mergeCell ref="D55:F55"/>
    <mergeCell ref="D60:D61"/>
    <mergeCell ref="E60:F61"/>
    <mergeCell ref="D57:F57"/>
    <mergeCell ref="D56:F56"/>
    <mergeCell ref="D58:F58"/>
    <mergeCell ref="D59:F59"/>
    <mergeCell ref="D53:D54"/>
    <mergeCell ref="E53:F54"/>
    <mergeCell ref="G58:I58"/>
    <mergeCell ref="D63:F63"/>
    <mergeCell ref="E36:F36"/>
    <mergeCell ref="D4:F5"/>
    <mergeCell ref="E32:F33"/>
    <mergeCell ref="E14:F14"/>
    <mergeCell ref="D32:D33"/>
    <mergeCell ref="E7:F7"/>
    <mergeCell ref="E13:F13"/>
    <mergeCell ref="E35:F35"/>
    <mergeCell ref="A4:A21"/>
    <mergeCell ref="A22:A31"/>
    <mergeCell ref="E12:F12"/>
    <mergeCell ref="E27:F27"/>
    <mergeCell ref="E28:F28"/>
    <mergeCell ref="C32:C33"/>
    <mergeCell ref="E15:F15"/>
    <mergeCell ref="G4:I5"/>
    <mergeCell ref="E6:F6"/>
    <mergeCell ref="E24:F24"/>
    <mergeCell ref="E26:F26"/>
    <mergeCell ref="D22:F23"/>
    <mergeCell ref="E25:F25"/>
    <mergeCell ref="H16:I16"/>
    <mergeCell ref="H17:I17"/>
    <mergeCell ref="G139:I139"/>
    <mergeCell ref="D139:F139"/>
    <mergeCell ref="G138:I138"/>
    <mergeCell ref="D138:F138"/>
    <mergeCell ref="H35:I35"/>
    <mergeCell ref="E34:F34"/>
    <mergeCell ref="G137:I137"/>
    <mergeCell ref="G98:I98"/>
    <mergeCell ref="D69:F69"/>
    <mergeCell ref="G78:I78"/>
    <mergeCell ref="D130:F130"/>
    <mergeCell ref="H127:I127"/>
    <mergeCell ref="G128:I128"/>
    <mergeCell ref="H129:I129"/>
    <mergeCell ref="E43:F43"/>
    <mergeCell ref="F44:F45"/>
    <mergeCell ref="A135:A139"/>
    <mergeCell ref="A119:A120"/>
    <mergeCell ref="A121:A125"/>
    <mergeCell ref="A126:A127"/>
    <mergeCell ref="A128:A129"/>
    <mergeCell ref="A130:A134"/>
    <mergeCell ref="A59:A65"/>
    <mergeCell ref="C44:C45"/>
    <mergeCell ref="C53:C54"/>
    <mergeCell ref="C60:C61"/>
    <mergeCell ref="A52:A58"/>
    <mergeCell ref="C135:C136"/>
    <mergeCell ref="C131:C132"/>
    <mergeCell ref="C121:C122"/>
    <mergeCell ref="C104:C105"/>
    <mergeCell ref="C110:C111"/>
    <mergeCell ref="C99:C100"/>
    <mergeCell ref="A99:A103"/>
    <mergeCell ref="A104:A108"/>
    <mergeCell ref="H36:I36"/>
    <mergeCell ref="H24:I24"/>
    <mergeCell ref="H27:I27"/>
    <mergeCell ref="H28:I28"/>
    <mergeCell ref="D39:F39"/>
    <mergeCell ref="H44:H45"/>
    <mergeCell ref="G55:I55"/>
    <mergeCell ref="G52:I52"/>
    <mergeCell ref="D37:F37"/>
    <mergeCell ref="G37:I37"/>
    <mergeCell ref="H53:I54"/>
    <mergeCell ref="D52:F52"/>
    <mergeCell ref="E40:F40"/>
    <mergeCell ref="H40:I40"/>
    <mergeCell ref="D41:F41"/>
    <mergeCell ref="D44:D45"/>
    <mergeCell ref="H38:I38"/>
    <mergeCell ref="G39:I39"/>
    <mergeCell ref="D42:F42"/>
    <mergeCell ref="E38:F38"/>
    <mergeCell ref="G53:G54"/>
    <mergeCell ref="D19:F19"/>
    <mergeCell ref="H30:I30"/>
    <mergeCell ref="G18:I18"/>
    <mergeCell ref="G32:G33"/>
    <mergeCell ref="H26:I26"/>
    <mergeCell ref="H31:I31"/>
    <mergeCell ref="H25:I25"/>
    <mergeCell ref="H32:I33"/>
    <mergeCell ref="H29:I29"/>
    <mergeCell ref="H125:I125"/>
    <mergeCell ref="H11:I11"/>
    <mergeCell ref="E9:F9"/>
    <mergeCell ref="E10:F10"/>
    <mergeCell ref="H9:I9"/>
    <mergeCell ref="H10:I10"/>
    <mergeCell ref="E11:F11"/>
    <mergeCell ref="G85:I85"/>
    <mergeCell ref="G76:I76"/>
    <mergeCell ref="G81:I81"/>
    <mergeCell ref="D78:F78"/>
    <mergeCell ref="D82:F82"/>
    <mergeCell ref="D79:F79"/>
    <mergeCell ref="G67:G68"/>
    <mergeCell ref="G72:I72"/>
    <mergeCell ref="G63:I63"/>
    <mergeCell ref="G64:I64"/>
    <mergeCell ref="D73:F74"/>
    <mergeCell ref="G73:I74"/>
    <mergeCell ref="G69:I69"/>
    <mergeCell ref="G71:I71"/>
    <mergeCell ref="H67:I68"/>
    <mergeCell ref="G70:I70"/>
    <mergeCell ref="G66:I66"/>
    <mergeCell ref="D106:F106"/>
    <mergeCell ref="G87:I87"/>
    <mergeCell ref="G82:I82"/>
    <mergeCell ref="G62:I62"/>
    <mergeCell ref="D137:F137"/>
    <mergeCell ref="G135:I136"/>
    <mergeCell ref="D126:F126"/>
    <mergeCell ref="H134:I134"/>
    <mergeCell ref="E134:F134"/>
    <mergeCell ref="D131:D132"/>
    <mergeCell ref="H133:I133"/>
    <mergeCell ref="E133:F133"/>
    <mergeCell ref="E127:F127"/>
    <mergeCell ref="G131:G132"/>
    <mergeCell ref="H116:I116"/>
    <mergeCell ref="H113:I113"/>
    <mergeCell ref="G119:I119"/>
    <mergeCell ref="H123:I123"/>
    <mergeCell ref="H124:I124"/>
    <mergeCell ref="H120:I120"/>
    <mergeCell ref="G121:I122"/>
    <mergeCell ref="D135:F136"/>
    <mergeCell ref="D128:F128"/>
    <mergeCell ref="E129:F129"/>
    <mergeCell ref="G88:I88"/>
    <mergeCell ref="E131:F132"/>
    <mergeCell ref="G126:I126"/>
    <mergeCell ref="H131:I132"/>
    <mergeCell ref="G130:I130"/>
    <mergeCell ref="E125:F125"/>
    <mergeCell ref="E124:F124"/>
    <mergeCell ref="E101:F101"/>
    <mergeCell ref="D89:F89"/>
    <mergeCell ref="D88:F88"/>
    <mergeCell ref="D93:F93"/>
    <mergeCell ref="D94:F94"/>
    <mergeCell ref="E116:F116"/>
    <mergeCell ref="E120:F120"/>
    <mergeCell ref="E115:F115"/>
    <mergeCell ref="E123:F123"/>
    <mergeCell ref="D121:F122"/>
    <mergeCell ref="D108:F108"/>
    <mergeCell ref="D119:F119"/>
    <mergeCell ref="E118:F118"/>
    <mergeCell ref="E99:F100"/>
    <mergeCell ref="H118:I118"/>
    <mergeCell ref="G106:I106"/>
    <mergeCell ref="D110:D111"/>
    <mergeCell ref="E8:F8"/>
    <mergeCell ref="H12:I12"/>
    <mergeCell ref="H15:I15"/>
    <mergeCell ref="E113:F113"/>
    <mergeCell ref="E109:F109"/>
    <mergeCell ref="H117:I117"/>
    <mergeCell ref="H115:I115"/>
    <mergeCell ref="D75:F75"/>
    <mergeCell ref="H110:I111"/>
    <mergeCell ref="G110:G111"/>
    <mergeCell ref="E110:F111"/>
    <mergeCell ref="H109:I109"/>
    <mergeCell ref="D90:F90"/>
    <mergeCell ref="D98:F98"/>
    <mergeCell ref="G94:I94"/>
    <mergeCell ref="G95:I95"/>
    <mergeCell ref="G91:I91"/>
    <mergeCell ref="G84:I84"/>
    <mergeCell ref="G75:I75"/>
    <mergeCell ref="G83:I83"/>
    <mergeCell ref="G92:I92"/>
    <mergeCell ref="D81:F81"/>
    <mergeCell ref="G89:I89"/>
    <mergeCell ref="G86:I86"/>
    <mergeCell ref="H13:I13"/>
    <mergeCell ref="H14:I14"/>
    <mergeCell ref="H8:I8"/>
    <mergeCell ref="A1:I1"/>
    <mergeCell ref="D2:F2"/>
    <mergeCell ref="G2:I2"/>
    <mergeCell ref="A43:A51"/>
    <mergeCell ref="G3:I3"/>
    <mergeCell ref="D3:F3"/>
    <mergeCell ref="C4:C5"/>
    <mergeCell ref="C22:C23"/>
    <mergeCell ref="I44:I45"/>
    <mergeCell ref="G22:I23"/>
    <mergeCell ref="H43:I43"/>
    <mergeCell ref="E31:F31"/>
    <mergeCell ref="G42:I42"/>
    <mergeCell ref="E20:F20"/>
    <mergeCell ref="G41:I41"/>
    <mergeCell ref="H34:I34"/>
    <mergeCell ref="E29:F29"/>
    <mergeCell ref="E30:F30"/>
    <mergeCell ref="H6:I6"/>
    <mergeCell ref="D18:F18"/>
    <mergeCell ref="H7:I7"/>
  </mergeCells>
  <phoneticPr fontId="2" type="noConversion"/>
  <pageMargins left="0.71" right="0.32" top="0.38" bottom="0.28999999999999998" header="0.21" footer="0.24"/>
  <pageSetup paperSize="9" scale="81" orientation="portrait" r:id="rId1"/>
  <headerFooter alignWithMargins="0"/>
  <ignoredErrors>
    <ignoredError sqref="D140:I142" formula="1"/>
  </ignoredErrors>
  <legacyDrawing r:id="rId2"/>
</worksheet>
</file>

<file path=xl/worksheets/sheet7.xml><?xml version="1.0" encoding="utf-8"?>
<worksheet xmlns="http://schemas.openxmlformats.org/spreadsheetml/2006/main" xmlns:r="http://schemas.openxmlformats.org/officeDocument/2006/relationships">
  <sheetPr codeName="Лист7">
    <tabColor rgb="FF00B0F0"/>
  </sheetPr>
  <dimension ref="A1:DZ51"/>
  <sheetViews>
    <sheetView view="pageLayout" zoomScale="40" zoomScaleNormal="40" zoomScaleSheetLayoutView="75" zoomScalePageLayoutView="40" workbookViewId="0">
      <selection activeCell="AR35" sqref="AQ35:AR35"/>
    </sheetView>
  </sheetViews>
  <sheetFormatPr defaultRowHeight="12.75" outlineLevelCol="1"/>
  <cols>
    <col min="1" max="1" width="13.140625" style="8" customWidth="1"/>
    <col min="2" max="2" width="14" style="8" customWidth="1"/>
    <col min="3" max="3" width="15.85546875" style="8" customWidth="1"/>
    <col min="4" max="4" width="11" style="8" customWidth="1"/>
    <col min="5" max="5" width="13.42578125" style="8" hidden="1" customWidth="1" outlineLevel="1"/>
    <col min="6" max="6" width="21" style="8" customWidth="1" collapsed="1"/>
    <col min="7" max="7" width="13.140625" style="8" customWidth="1"/>
    <col min="8" max="8" width="21.28515625" style="8" hidden="1" customWidth="1" outlineLevel="1"/>
    <col min="9" max="9" width="14.140625" style="8" customWidth="1" collapsed="1"/>
    <col min="10" max="10" width="15.85546875" style="8" customWidth="1"/>
    <col min="11" max="11" width="14.42578125" style="8" customWidth="1"/>
    <col min="12" max="12" width="16" style="8" customWidth="1"/>
    <col min="13" max="13" width="13.42578125" style="8" customWidth="1"/>
    <col min="14" max="14" width="11.5703125" style="8" customWidth="1"/>
    <col min="15" max="15" width="12.7109375" style="8" customWidth="1"/>
    <col min="16" max="16" width="13.140625" style="8" customWidth="1"/>
    <col min="17" max="17" width="11" style="8" customWidth="1"/>
    <col min="18" max="18" width="12.7109375" style="8" customWidth="1"/>
    <col min="19" max="19" width="12.140625" style="8" customWidth="1"/>
    <col min="20" max="20" width="19" style="8" hidden="1" customWidth="1" outlineLevel="1"/>
    <col min="21" max="21" width="25.28515625" style="8" hidden="1" customWidth="1" outlineLevel="1"/>
    <col min="22" max="22" width="26.85546875" style="8" hidden="1" customWidth="1" outlineLevel="1"/>
    <col min="23" max="23" width="2.5703125" style="8" customWidth="1" collapsed="1"/>
    <col min="24" max="24" width="12.7109375" style="8" customWidth="1"/>
    <col min="25" max="25" width="21.140625" style="8" customWidth="1"/>
    <col min="26" max="26" width="8.5703125" style="8" customWidth="1"/>
    <col min="27" max="27" width="8.140625" style="8" customWidth="1"/>
    <col min="28" max="28" width="11.5703125" style="8" customWidth="1"/>
    <col min="29" max="29" width="24.42578125" style="8" hidden="1" customWidth="1" outlineLevel="1"/>
    <col min="30" max="30" width="13.85546875" style="8" customWidth="1" collapsed="1"/>
    <col min="31" max="31" width="12.28515625" style="8" customWidth="1"/>
    <col min="32" max="32" width="11.5703125" style="8" customWidth="1"/>
    <col min="33" max="33" width="11.140625" style="8" customWidth="1"/>
    <col min="34" max="34" width="18" style="8" hidden="1" customWidth="1" outlineLevel="1"/>
    <col min="35" max="35" width="17" style="8" customWidth="1" collapsed="1"/>
    <col min="36" max="36" width="10.7109375" style="8" customWidth="1"/>
    <col min="37" max="37" width="19.42578125" style="8" customWidth="1"/>
    <col min="38" max="38" width="14.42578125" style="8" customWidth="1"/>
    <col min="39" max="39" width="15.7109375" style="8" customWidth="1"/>
    <col min="40" max="40" width="21.7109375" style="8" hidden="1" customWidth="1" outlineLevel="1"/>
    <col min="41" max="41" width="16.5703125" style="8" hidden="1" customWidth="1" outlineLevel="1"/>
    <col min="42" max="42" width="9.140625" style="8" collapsed="1"/>
    <col min="43" max="43" width="9.140625" style="8"/>
    <col min="44" max="44" width="16.85546875" style="8" customWidth="1"/>
    <col min="45" max="45" width="16.5703125" style="8" customWidth="1"/>
    <col min="46" max="16384" width="9.140625" style="8"/>
  </cols>
  <sheetData>
    <row r="1" spans="1:44" s="94" customFormat="1" ht="16.5" customHeight="1">
      <c r="A1" s="97"/>
      <c r="B1" s="97"/>
      <c r="C1" s="97"/>
      <c r="D1" s="97"/>
      <c r="E1" s="97"/>
      <c r="F1" s="97"/>
      <c r="G1" s="97"/>
      <c r="H1" s="97"/>
      <c r="I1" s="97"/>
      <c r="J1" s="156"/>
      <c r="K1" s="97"/>
      <c r="L1" s="97"/>
      <c r="M1" s="97"/>
      <c r="N1" s="97"/>
      <c r="O1" s="97"/>
      <c r="P1" s="97"/>
      <c r="Q1" s="97"/>
      <c r="R1" s="97"/>
      <c r="S1" s="97"/>
      <c r="T1" s="97"/>
      <c r="U1" s="97"/>
      <c r="V1" s="97"/>
      <c r="W1" s="97"/>
      <c r="X1" s="97"/>
      <c r="Y1" s="97"/>
      <c r="Z1" s="97"/>
      <c r="AA1" s="97"/>
      <c r="AB1" s="97"/>
      <c r="AC1" s="97"/>
      <c r="AD1" s="97"/>
      <c r="AE1" s="97"/>
      <c r="AF1" s="97"/>
      <c r="AG1" s="97"/>
      <c r="AH1" s="97"/>
      <c r="AI1" s="162"/>
      <c r="AJ1" s="97"/>
      <c r="AK1" s="97"/>
      <c r="AL1" s="97"/>
      <c r="AM1" s="97"/>
      <c r="AN1" s="97"/>
      <c r="AO1" s="97"/>
      <c r="AP1" s="97"/>
      <c r="AQ1" s="97"/>
      <c r="AR1" s="97"/>
    </row>
    <row r="2" spans="1:44" s="94" customFormat="1" ht="16.5">
      <c r="A2" s="97"/>
      <c r="B2" s="97"/>
      <c r="C2" s="97"/>
      <c r="D2" s="97"/>
      <c r="E2" s="97"/>
      <c r="F2" s="97"/>
      <c r="G2" s="97"/>
      <c r="H2" s="97"/>
      <c r="I2" s="97"/>
      <c r="J2" s="97"/>
      <c r="K2" s="97"/>
      <c r="L2" s="97"/>
      <c r="M2" s="494"/>
      <c r="N2" s="494"/>
      <c r="O2" s="495"/>
      <c r="P2" s="496"/>
      <c r="Q2" s="497"/>
      <c r="R2" s="97"/>
      <c r="S2" s="97"/>
      <c r="T2" s="97"/>
      <c r="U2" s="97"/>
      <c r="V2" s="97"/>
      <c r="W2" s="97"/>
      <c r="X2" s="97"/>
      <c r="Y2" s="97"/>
      <c r="Z2" s="97"/>
      <c r="AA2" s="97"/>
      <c r="AB2" s="97"/>
      <c r="AC2" s="97"/>
      <c r="AD2" s="97"/>
      <c r="AE2" s="97"/>
      <c r="AF2" s="97"/>
      <c r="AG2" s="97"/>
      <c r="AH2" s="97"/>
      <c r="AI2" s="97"/>
      <c r="AJ2" s="97"/>
      <c r="AK2" s="97"/>
      <c r="AL2" s="97"/>
      <c r="AM2" s="493"/>
      <c r="AN2" s="493"/>
      <c r="AO2" s="498"/>
      <c r="AP2" s="499"/>
      <c r="AQ2" s="500"/>
      <c r="AR2" s="97"/>
    </row>
    <row r="3" spans="1:44" ht="9" customHeight="1">
      <c r="A3" s="102"/>
      <c r="B3" s="102"/>
      <c r="C3" s="1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row>
    <row r="4" spans="1:44" ht="18.75">
      <c r="A4" s="1143" t="s">
        <v>605</v>
      </c>
      <c r="B4" s="1143"/>
      <c r="C4" s="1143"/>
      <c r="D4" s="1143"/>
      <c r="E4" s="1143"/>
      <c r="F4" s="1143"/>
      <c r="G4" s="1143"/>
      <c r="H4" s="1143"/>
      <c r="I4" s="1143"/>
      <c r="J4" s="1143"/>
      <c r="K4" s="1143"/>
      <c r="L4" s="1143"/>
      <c r="M4" s="1143"/>
      <c r="N4" s="1143"/>
      <c r="O4" s="1143"/>
      <c r="P4" s="1143"/>
      <c r="Q4" s="1143"/>
      <c r="R4" s="1143"/>
      <c r="S4" s="1143"/>
      <c r="T4" s="47"/>
      <c r="U4" s="47"/>
      <c r="V4" s="47"/>
      <c r="W4" s="47"/>
      <c r="X4" s="47"/>
      <c r="Y4" s="47"/>
      <c r="Z4" s="47"/>
      <c r="AA4" s="47"/>
      <c r="AB4" s="101"/>
      <c r="AC4" s="101"/>
      <c r="AD4" s="101"/>
      <c r="AE4" s="101"/>
      <c r="AF4" s="101"/>
      <c r="AG4" s="102"/>
      <c r="AH4" s="102"/>
      <c r="AI4" s="102"/>
      <c r="AJ4" s="102"/>
      <c r="AK4" s="102"/>
      <c r="AL4" s="102"/>
      <c r="AM4" s="102"/>
      <c r="AN4" s="102"/>
      <c r="AO4" s="102"/>
      <c r="AP4" s="102"/>
      <c r="AQ4" s="102"/>
      <c r="AR4" s="102"/>
    </row>
    <row r="5" spans="1:44" ht="15.75" thickBot="1">
      <c r="A5" s="59" t="s">
        <v>1647</v>
      </c>
      <c r="B5" s="54"/>
      <c r="C5" s="54"/>
      <c r="D5" s="54"/>
      <c r="E5" s="54"/>
      <c r="F5" s="54"/>
      <c r="G5" s="54"/>
      <c r="H5" s="54"/>
      <c r="I5" s="54"/>
      <c r="J5" s="54"/>
      <c r="K5" s="54"/>
      <c r="L5" s="54"/>
      <c r="M5" s="54"/>
      <c r="N5" s="54"/>
      <c r="O5" s="54"/>
      <c r="P5" s="56"/>
      <c r="Q5" s="56"/>
      <c r="R5" s="56"/>
      <c r="S5" s="56"/>
      <c r="T5" s="54"/>
      <c r="U5" s="54"/>
      <c r="V5" s="48"/>
      <c r="W5" s="48"/>
      <c r="X5" s="1092" t="s">
        <v>65</v>
      </c>
      <c r="Y5" s="1092"/>
      <c r="Z5" s="1092"/>
      <c r="AA5" s="1092"/>
      <c r="AB5" s="103"/>
      <c r="AC5" s="54"/>
      <c r="AD5" s="54"/>
      <c r="AE5" s="54"/>
      <c r="AF5" s="54"/>
      <c r="AG5" s="55"/>
      <c r="AH5" s="55"/>
      <c r="AI5" s="55"/>
      <c r="AJ5" s="55"/>
      <c r="AK5" s="104"/>
      <c r="AL5" s="104"/>
      <c r="AM5" s="104"/>
      <c r="AN5" s="55"/>
      <c r="AO5" s="55"/>
      <c r="AP5" s="55"/>
      <c r="AQ5" s="102"/>
      <c r="AR5" s="102"/>
    </row>
    <row r="6" spans="1:44" ht="23.25" customHeight="1" thickBot="1">
      <c r="A6" s="1102" t="s">
        <v>1648</v>
      </c>
      <c r="B6" s="1102" t="s">
        <v>117</v>
      </c>
      <c r="C6" s="1102" t="s">
        <v>118</v>
      </c>
      <c r="D6" s="1164" t="s">
        <v>119</v>
      </c>
      <c r="E6" s="1101"/>
      <c r="F6" s="1101"/>
      <c r="G6" s="1101"/>
      <c r="H6" s="1101"/>
      <c r="I6" s="1101"/>
      <c r="J6" s="1101"/>
      <c r="K6" s="1094"/>
      <c r="L6" s="1111" t="s">
        <v>606</v>
      </c>
      <c r="M6" s="1112"/>
      <c r="N6" s="1113"/>
      <c r="O6" s="1111" t="s">
        <v>607</v>
      </c>
      <c r="P6" s="1112"/>
      <c r="Q6" s="1113"/>
      <c r="R6" s="105"/>
      <c r="S6" s="105"/>
      <c r="T6" s="1160" t="s">
        <v>1649</v>
      </c>
      <c r="U6" s="1161"/>
      <c r="V6" s="49"/>
      <c r="W6" s="49"/>
      <c r="X6" s="1096" t="s">
        <v>1648</v>
      </c>
      <c r="Y6" s="1093" t="s">
        <v>121</v>
      </c>
      <c r="Z6" s="1101"/>
      <c r="AA6" s="1101"/>
      <c r="AB6" s="1101"/>
      <c r="AC6" s="1101"/>
      <c r="AD6" s="1101"/>
      <c r="AE6" s="1101"/>
      <c r="AF6" s="1101"/>
      <c r="AG6" s="1101"/>
      <c r="AH6" s="1101"/>
      <c r="AI6" s="1101"/>
      <c r="AJ6" s="1101"/>
      <c r="AK6" s="1101"/>
      <c r="AL6" s="1101"/>
      <c r="AM6" s="1094"/>
      <c r="AN6" s="504"/>
      <c r="AO6" s="505"/>
      <c r="AP6" s="55"/>
      <c r="AQ6" s="102"/>
      <c r="AR6" s="102"/>
    </row>
    <row r="7" spans="1:44" ht="23.25" customHeight="1" thickBot="1">
      <c r="A7" s="1141"/>
      <c r="B7" s="1141"/>
      <c r="C7" s="1141"/>
      <c r="D7" s="1173" t="s">
        <v>30</v>
      </c>
      <c r="E7" s="1153" t="s">
        <v>1649</v>
      </c>
      <c r="F7" s="1093" t="s">
        <v>1372</v>
      </c>
      <c r="G7" s="1101"/>
      <c r="H7" s="1101"/>
      <c r="I7" s="1101"/>
      <c r="J7" s="1101"/>
      <c r="K7" s="1094"/>
      <c r="L7" s="1114"/>
      <c r="M7" s="1115"/>
      <c r="N7" s="1116"/>
      <c r="O7" s="1114"/>
      <c r="P7" s="1115"/>
      <c r="Q7" s="1116"/>
      <c r="R7" s="105"/>
      <c r="S7" s="105"/>
      <c r="T7" s="1162"/>
      <c r="U7" s="1145"/>
      <c r="V7" s="49"/>
      <c r="W7" s="49"/>
      <c r="X7" s="1158"/>
      <c r="Y7" s="1093" t="s">
        <v>1377</v>
      </c>
      <c r="Z7" s="1101"/>
      <c r="AA7" s="1101"/>
      <c r="AB7" s="1101"/>
      <c r="AC7" s="1101"/>
      <c r="AD7" s="1101"/>
      <c r="AE7" s="1101"/>
      <c r="AF7" s="1101"/>
      <c r="AG7" s="1094"/>
      <c r="AH7" s="1153" t="s">
        <v>1649</v>
      </c>
      <c r="AI7" s="1093" t="s">
        <v>1378</v>
      </c>
      <c r="AJ7" s="1101"/>
      <c r="AK7" s="1101"/>
      <c r="AL7" s="1101"/>
      <c r="AM7" s="1094"/>
      <c r="AN7" s="1144" t="s">
        <v>1649</v>
      </c>
      <c r="AO7" s="1145"/>
      <c r="AP7" s="55"/>
      <c r="AQ7" s="102"/>
      <c r="AR7" s="102"/>
    </row>
    <row r="8" spans="1:44" ht="27.75" customHeight="1" thickBot="1">
      <c r="A8" s="1141"/>
      <c r="B8" s="1141"/>
      <c r="C8" s="1141"/>
      <c r="D8" s="1174"/>
      <c r="E8" s="1154"/>
      <c r="F8" s="1108" t="s">
        <v>1650</v>
      </c>
      <c r="G8" s="1108"/>
      <c r="H8" s="508" t="s">
        <v>1649</v>
      </c>
      <c r="I8" s="1102" t="s">
        <v>1374</v>
      </c>
      <c r="J8" s="1105" t="s">
        <v>1651</v>
      </c>
      <c r="K8" s="1102" t="s">
        <v>1652</v>
      </c>
      <c r="L8" s="1102" t="s">
        <v>30</v>
      </c>
      <c r="M8" s="1149" t="s">
        <v>1372</v>
      </c>
      <c r="N8" s="1150"/>
      <c r="O8" s="1102" t="s">
        <v>30</v>
      </c>
      <c r="P8" s="1093" t="s">
        <v>1372</v>
      </c>
      <c r="Q8" s="1094"/>
      <c r="R8" s="105"/>
      <c r="S8" s="105"/>
      <c r="T8" s="1162"/>
      <c r="U8" s="1145"/>
      <c r="V8" s="49"/>
      <c r="W8" s="49"/>
      <c r="X8" s="1158"/>
      <c r="Y8" s="1096" t="s">
        <v>30</v>
      </c>
      <c r="Z8" s="1093" t="s">
        <v>1379</v>
      </c>
      <c r="AA8" s="1101"/>
      <c r="AB8" s="1094"/>
      <c r="AC8" s="511" t="s">
        <v>1649</v>
      </c>
      <c r="AD8" s="1093" t="s">
        <v>1380</v>
      </c>
      <c r="AE8" s="1148"/>
      <c r="AF8" s="1148"/>
      <c r="AG8" s="1095"/>
      <c r="AH8" s="1139"/>
      <c r="AI8" s="1102" t="s">
        <v>30</v>
      </c>
      <c r="AJ8" s="1093" t="s">
        <v>1381</v>
      </c>
      <c r="AK8" s="1095"/>
      <c r="AL8" s="1093" t="s">
        <v>1382</v>
      </c>
      <c r="AM8" s="1095"/>
      <c r="AN8" s="1144"/>
      <c r="AO8" s="1145"/>
      <c r="AP8" s="55"/>
      <c r="AQ8" s="102"/>
      <c r="AR8" s="102"/>
    </row>
    <row r="9" spans="1:44" ht="30" customHeight="1" thickBot="1">
      <c r="A9" s="1142"/>
      <c r="B9" s="1104"/>
      <c r="C9" s="1142"/>
      <c r="D9" s="1175"/>
      <c r="E9" s="1140"/>
      <c r="F9" s="513" t="s">
        <v>1376</v>
      </c>
      <c r="G9" s="513" t="s">
        <v>1653</v>
      </c>
      <c r="H9" s="514"/>
      <c r="I9" s="1135"/>
      <c r="J9" s="1157"/>
      <c r="K9" s="1135"/>
      <c r="L9" s="1103"/>
      <c r="M9" s="515" t="s">
        <v>1654</v>
      </c>
      <c r="N9" s="515" t="s">
        <v>1655</v>
      </c>
      <c r="O9" s="1126"/>
      <c r="P9" s="515" t="s">
        <v>1654</v>
      </c>
      <c r="Q9" s="516" t="s">
        <v>1655</v>
      </c>
      <c r="R9" s="105"/>
      <c r="S9" s="105"/>
      <c r="T9" s="1163"/>
      <c r="U9" s="1147"/>
      <c r="V9" s="49"/>
      <c r="W9" s="49"/>
      <c r="X9" s="1156"/>
      <c r="Y9" s="1156"/>
      <c r="Z9" s="518">
        <v>2.5</v>
      </c>
      <c r="AA9" s="519">
        <v>2</v>
      </c>
      <c r="AB9" s="520" t="s">
        <v>106</v>
      </c>
      <c r="AC9" s="521"/>
      <c r="AD9" s="516" t="s">
        <v>1656</v>
      </c>
      <c r="AE9" s="516" t="s">
        <v>1657</v>
      </c>
      <c r="AF9" s="522" t="s">
        <v>1658</v>
      </c>
      <c r="AG9" s="516" t="s">
        <v>1659</v>
      </c>
      <c r="AH9" s="1159"/>
      <c r="AI9" s="1103"/>
      <c r="AJ9" s="524">
        <v>2</v>
      </c>
      <c r="AK9" s="516" t="s">
        <v>105</v>
      </c>
      <c r="AL9" s="525" t="s">
        <v>1660</v>
      </c>
      <c r="AM9" s="526" t="s">
        <v>1661</v>
      </c>
      <c r="AN9" s="1146"/>
      <c r="AO9" s="1147"/>
      <c r="AP9" s="55"/>
      <c r="AQ9" s="102"/>
      <c r="AR9" s="102"/>
    </row>
    <row r="10" spans="1:44" ht="30" customHeight="1" thickBot="1">
      <c r="A10" s="516">
        <v>1</v>
      </c>
      <c r="B10" s="526" t="s">
        <v>107</v>
      </c>
      <c r="C10" s="516">
        <v>3</v>
      </c>
      <c r="D10" s="501" t="s">
        <v>109</v>
      </c>
      <c r="E10" s="528" t="s">
        <v>1662</v>
      </c>
      <c r="F10" s="516">
        <v>5</v>
      </c>
      <c r="G10" s="516">
        <v>6</v>
      </c>
      <c r="H10" s="529" t="s">
        <v>1663</v>
      </c>
      <c r="I10" s="516">
        <v>7</v>
      </c>
      <c r="J10" s="522">
        <v>8</v>
      </c>
      <c r="K10" s="516">
        <v>9</v>
      </c>
      <c r="L10" s="516" t="s">
        <v>110</v>
      </c>
      <c r="M10" s="518">
        <v>11</v>
      </c>
      <c r="N10" s="518">
        <v>12</v>
      </c>
      <c r="O10" s="522" t="s">
        <v>112</v>
      </c>
      <c r="P10" s="518">
        <v>14</v>
      </c>
      <c r="Q10" s="530">
        <v>15</v>
      </c>
      <c r="R10" s="106"/>
      <c r="S10" s="106"/>
      <c r="T10" s="531" t="s">
        <v>1664</v>
      </c>
      <c r="U10" s="531" t="s">
        <v>1665</v>
      </c>
      <c r="V10" s="50"/>
      <c r="W10" s="50"/>
      <c r="X10" s="532" t="s">
        <v>1666</v>
      </c>
      <c r="Y10" s="516" t="s">
        <v>114</v>
      </c>
      <c r="Z10" s="516">
        <v>17</v>
      </c>
      <c r="AA10" s="516">
        <v>18</v>
      </c>
      <c r="AB10" s="501">
        <v>19</v>
      </c>
      <c r="AC10" s="528" t="s">
        <v>1667</v>
      </c>
      <c r="AD10" s="516">
        <v>20</v>
      </c>
      <c r="AE10" s="516">
        <v>21</v>
      </c>
      <c r="AF10" s="522">
        <v>22</v>
      </c>
      <c r="AG10" s="516">
        <v>23</v>
      </c>
      <c r="AH10" s="529" t="s">
        <v>1668</v>
      </c>
      <c r="AI10" s="516" t="s">
        <v>115</v>
      </c>
      <c r="AJ10" s="522">
        <v>25</v>
      </c>
      <c r="AK10" s="516">
        <v>26</v>
      </c>
      <c r="AL10" s="516">
        <v>27</v>
      </c>
      <c r="AM10" s="520">
        <v>28</v>
      </c>
      <c r="AN10" s="533" t="s">
        <v>1669</v>
      </c>
      <c r="AO10" s="531" t="s">
        <v>1670</v>
      </c>
      <c r="AP10" s="55"/>
      <c r="AQ10" s="102"/>
      <c r="AR10" s="102"/>
    </row>
    <row r="11" spans="1:44" ht="15" customHeight="1" thickBot="1">
      <c r="A11" s="534" t="s">
        <v>1671</v>
      </c>
      <c r="B11" s="535">
        <v>1549</v>
      </c>
      <c r="C11" s="536">
        <v>6</v>
      </c>
      <c r="D11" s="537">
        <v>1543</v>
      </c>
      <c r="E11" s="538" t="b">
        <f>B11=(C11+D11)</f>
        <v>1</v>
      </c>
      <c r="F11" s="539">
        <v>1282</v>
      </c>
      <c r="G11" s="540">
        <v>261</v>
      </c>
      <c r="H11" s="538" t="b">
        <f>D11=(F11+G11)</f>
        <v>1</v>
      </c>
      <c r="I11" s="541">
        <v>440</v>
      </c>
      <c r="J11" s="542">
        <v>8</v>
      </c>
      <c r="K11" s="541">
        <v>0</v>
      </c>
      <c r="L11" s="543">
        <f>M11+N11</f>
        <v>342</v>
      </c>
      <c r="M11" s="544">
        <v>301</v>
      </c>
      <c r="N11" s="545">
        <v>41</v>
      </c>
      <c r="O11" s="546">
        <f>SUM(P11:Q11)</f>
        <v>94</v>
      </c>
      <c r="P11" s="547">
        <v>77</v>
      </c>
      <c r="Q11" s="548">
        <v>17</v>
      </c>
      <c r="R11" s="107"/>
      <c r="S11" s="107"/>
      <c r="T11" s="549" t="b">
        <f>N11+M11=L11</f>
        <v>1</v>
      </c>
      <c r="U11" s="550" t="b">
        <f>O11=P11+Q11</f>
        <v>1</v>
      </c>
      <c r="V11" s="51"/>
      <c r="W11" s="51"/>
      <c r="X11" s="534" t="s">
        <v>1671</v>
      </c>
      <c r="Y11" s="551">
        <v>490</v>
      </c>
      <c r="Z11" s="552">
        <v>390</v>
      </c>
      <c r="AA11" s="553">
        <v>100</v>
      </c>
      <c r="AB11" s="554">
        <v>0</v>
      </c>
      <c r="AC11" s="538" t="b">
        <f>Y11=Z11+AA11+AB11</f>
        <v>1</v>
      </c>
      <c r="AD11" s="553">
        <v>0</v>
      </c>
      <c r="AE11" s="552">
        <v>0</v>
      </c>
      <c r="AF11" s="553">
        <v>100</v>
      </c>
      <c r="AG11" s="555">
        <v>390</v>
      </c>
      <c r="AH11" s="556" t="b">
        <f>Y11=AD11+AE11+AF11+AG11</f>
        <v>1</v>
      </c>
      <c r="AI11" s="551">
        <v>1053</v>
      </c>
      <c r="AJ11" s="552">
        <v>236</v>
      </c>
      <c r="AK11" s="557">
        <v>817</v>
      </c>
      <c r="AL11" s="552">
        <v>708</v>
      </c>
      <c r="AM11" s="553">
        <v>345</v>
      </c>
      <c r="AN11" s="558" t="b">
        <f>AJ11+AK11=AL11+AM11</f>
        <v>1</v>
      </c>
      <c r="AO11" s="559" t="b">
        <f>D11=Y11+AI11</f>
        <v>1</v>
      </c>
      <c r="AP11" s="55"/>
      <c r="AQ11" s="102"/>
      <c r="AR11" s="102"/>
    </row>
    <row r="12" spans="1:44" ht="15" customHeight="1" thickBot="1">
      <c r="A12" s="534" t="s">
        <v>1672</v>
      </c>
      <c r="B12" s="535">
        <v>4507</v>
      </c>
      <c r="C12" s="536">
        <v>5</v>
      </c>
      <c r="D12" s="535">
        <v>4502</v>
      </c>
      <c r="E12" s="538" t="b">
        <f>B12=(C12+D12)</f>
        <v>1</v>
      </c>
      <c r="F12" s="539">
        <v>2583</v>
      </c>
      <c r="G12" s="540">
        <v>1919</v>
      </c>
      <c r="H12" s="538" t="b">
        <f>D12=(F12+G12)</f>
        <v>1</v>
      </c>
      <c r="I12" s="539">
        <v>1708</v>
      </c>
      <c r="J12" s="536">
        <v>892</v>
      </c>
      <c r="K12" s="541">
        <v>0</v>
      </c>
      <c r="L12" s="543">
        <f>M12+N12</f>
        <v>847</v>
      </c>
      <c r="M12" s="560">
        <v>751</v>
      </c>
      <c r="N12" s="561">
        <v>96</v>
      </c>
      <c r="O12" s="562">
        <f>SUM(P12:Q12)</f>
        <v>302</v>
      </c>
      <c r="P12" s="563">
        <v>174</v>
      </c>
      <c r="Q12" s="564">
        <v>128</v>
      </c>
      <c r="R12" s="107"/>
      <c r="S12" s="107"/>
      <c r="T12" s="549" t="b">
        <f>N12+M12=L12</f>
        <v>1</v>
      </c>
      <c r="U12" s="550" t="b">
        <f>O12=P12+Q12</f>
        <v>1</v>
      </c>
      <c r="V12" s="51"/>
      <c r="W12" s="51"/>
      <c r="X12" s="534" t="s">
        <v>1672</v>
      </c>
      <c r="Y12" s="565">
        <v>1526</v>
      </c>
      <c r="Z12" s="566">
        <v>0</v>
      </c>
      <c r="AA12" s="567">
        <v>1526</v>
      </c>
      <c r="AB12" s="554">
        <v>0</v>
      </c>
      <c r="AC12" s="538" t="b">
        <f>Y12=Z12+AA12+AB12</f>
        <v>1</v>
      </c>
      <c r="AD12" s="567">
        <v>0</v>
      </c>
      <c r="AE12" s="566">
        <v>34</v>
      </c>
      <c r="AF12" s="567">
        <v>741</v>
      </c>
      <c r="AG12" s="568">
        <v>751</v>
      </c>
      <c r="AH12" s="556" t="b">
        <f>Y12=AD12+AE12+AF12+AG12</f>
        <v>1</v>
      </c>
      <c r="AI12" s="565">
        <v>2976</v>
      </c>
      <c r="AJ12" s="566">
        <v>247</v>
      </c>
      <c r="AK12" s="557">
        <v>2729</v>
      </c>
      <c r="AL12" s="566">
        <v>1542</v>
      </c>
      <c r="AM12" s="567">
        <v>1434</v>
      </c>
      <c r="AN12" s="558" t="b">
        <f>AJ12+AK12=AL12+AM12</f>
        <v>1</v>
      </c>
      <c r="AO12" s="559" t="b">
        <f>D12=Y12+AI12</f>
        <v>1</v>
      </c>
      <c r="AP12" s="55"/>
      <c r="AQ12" s="102"/>
      <c r="AR12" s="102"/>
    </row>
    <row r="13" spans="1:44" s="110" customFormat="1" ht="15" customHeight="1" thickBot="1">
      <c r="A13" s="569" t="s">
        <v>1673</v>
      </c>
      <c r="B13" s="570">
        <f>SUM(B11:B12)</f>
        <v>6056</v>
      </c>
      <c r="C13" s="571">
        <f>SUM(C11:C12)</f>
        <v>11</v>
      </c>
      <c r="D13" s="571">
        <f>SUM(D11:D12)</f>
        <v>6045</v>
      </c>
      <c r="E13" s="572" t="b">
        <f>B13=(C13+D13)</f>
        <v>1</v>
      </c>
      <c r="F13" s="573">
        <f>SUM(F11:F12)</f>
        <v>3865</v>
      </c>
      <c r="G13" s="573">
        <f>SUM(G11:G12)</f>
        <v>2180</v>
      </c>
      <c r="H13" s="572" t="b">
        <f>D13=(F13+G13)</f>
        <v>1</v>
      </c>
      <c r="I13" s="573">
        <f>SUM(I11:I12)</f>
        <v>2148</v>
      </c>
      <c r="J13" s="571">
        <f>SUM(J11:J12)</f>
        <v>900</v>
      </c>
      <c r="K13" s="574">
        <f>SUM(K11:K12)</f>
        <v>0</v>
      </c>
      <c r="L13" s="573">
        <f>M13+N13</f>
        <v>1189</v>
      </c>
      <c r="M13" s="573">
        <f>SUM(M11:M12)</f>
        <v>1052</v>
      </c>
      <c r="N13" s="573">
        <f>SUM(N11:N12)</f>
        <v>137</v>
      </c>
      <c r="O13" s="575">
        <f>SUM(O11:O12)</f>
        <v>396</v>
      </c>
      <c r="P13" s="576">
        <f>SUM(P11:P12)</f>
        <v>251</v>
      </c>
      <c r="Q13" s="577">
        <f>SUM(Q11:Q12)</f>
        <v>145</v>
      </c>
      <c r="R13" s="108"/>
      <c r="S13" s="108"/>
      <c r="T13" s="578" t="b">
        <f>N13+M13=L13</f>
        <v>1</v>
      </c>
      <c r="U13" s="579" t="b">
        <f>O13=P13+Q13</f>
        <v>1</v>
      </c>
      <c r="V13" s="52"/>
      <c r="W13" s="52"/>
      <c r="X13" s="569" t="s">
        <v>1673</v>
      </c>
      <c r="Y13" s="580">
        <f>SUM(Y11:Y12)</f>
        <v>2016</v>
      </c>
      <c r="Z13" s="580">
        <f t="shared" ref="Z13:AM13" si="0">SUM(Z11:Z12)</f>
        <v>390</v>
      </c>
      <c r="AA13" s="580">
        <f t="shared" si="0"/>
        <v>1626</v>
      </c>
      <c r="AB13" s="581">
        <f t="shared" si="0"/>
        <v>0</v>
      </c>
      <c r="AC13" s="572" t="b">
        <f>Y13=Z13+AA13+AB13</f>
        <v>1</v>
      </c>
      <c r="AD13" s="580">
        <f t="shared" si="0"/>
        <v>0</v>
      </c>
      <c r="AE13" s="580">
        <f t="shared" si="0"/>
        <v>34</v>
      </c>
      <c r="AF13" s="580">
        <f t="shared" si="0"/>
        <v>841</v>
      </c>
      <c r="AG13" s="580">
        <f t="shared" si="0"/>
        <v>1141</v>
      </c>
      <c r="AH13" s="582" t="b">
        <f>Y13=AD13+AE13+AF13+AG13</f>
        <v>1</v>
      </c>
      <c r="AI13" s="580">
        <f t="shared" si="0"/>
        <v>4029</v>
      </c>
      <c r="AJ13" s="580">
        <f t="shared" si="0"/>
        <v>483</v>
      </c>
      <c r="AK13" s="581">
        <f t="shared" si="0"/>
        <v>3546</v>
      </c>
      <c r="AL13" s="580">
        <f t="shared" si="0"/>
        <v>2250</v>
      </c>
      <c r="AM13" s="580">
        <f t="shared" si="0"/>
        <v>1779</v>
      </c>
      <c r="AN13" s="583" t="b">
        <f>AJ13+AK13=AL13+AM13</f>
        <v>1</v>
      </c>
      <c r="AO13" s="579" t="b">
        <f>D13=Y13+AI13</f>
        <v>1</v>
      </c>
      <c r="AP13" s="109"/>
      <c r="AQ13" s="174"/>
      <c r="AR13" s="174"/>
    </row>
    <row r="14" spans="1:44" ht="8.25" customHeight="1">
      <c r="A14" s="53"/>
      <c r="B14" s="111"/>
      <c r="C14" s="112"/>
      <c r="D14" s="113"/>
      <c r="E14" s="113"/>
      <c r="F14" s="113"/>
      <c r="G14" s="113"/>
      <c r="H14" s="113"/>
      <c r="I14" s="113"/>
      <c r="J14" s="113"/>
      <c r="K14" s="112"/>
      <c r="L14" s="53"/>
      <c r="M14" s="53"/>
      <c r="N14" s="53"/>
      <c r="O14" s="53"/>
      <c r="P14" s="53"/>
      <c r="Q14" s="53"/>
      <c r="R14" s="53"/>
      <c r="S14" s="53"/>
      <c r="T14" s="53"/>
      <c r="U14" s="53"/>
      <c r="V14" s="53"/>
      <c r="W14" s="53"/>
      <c r="X14" s="53"/>
      <c r="Y14" s="113"/>
      <c r="Z14" s="113"/>
      <c r="AA14" s="113"/>
      <c r="AB14" s="113"/>
      <c r="AC14" s="113"/>
      <c r="AD14" s="113"/>
      <c r="AE14" s="113"/>
      <c r="AF14" s="113"/>
      <c r="AG14" s="113"/>
      <c r="AH14" s="113"/>
      <c r="AI14" s="113"/>
      <c r="AJ14" s="113"/>
      <c r="AK14" s="113"/>
      <c r="AL14" s="112"/>
      <c r="AM14" s="53"/>
      <c r="AN14" s="53"/>
      <c r="AO14" s="53"/>
      <c r="AP14" s="55"/>
      <c r="AQ14" s="102"/>
      <c r="AR14" s="102"/>
    </row>
    <row r="15" spans="1:44" ht="15.75" thickBot="1">
      <c r="A15" s="59" t="s">
        <v>1674</v>
      </c>
      <c r="B15" s="54"/>
      <c r="C15" s="54"/>
      <c r="D15" s="54"/>
      <c r="E15" s="54"/>
      <c r="F15" s="54"/>
      <c r="G15" s="54"/>
      <c r="H15" s="54"/>
      <c r="I15" s="54"/>
      <c r="J15" s="54"/>
      <c r="K15" s="54"/>
      <c r="L15" s="55"/>
      <c r="M15" s="55"/>
      <c r="N15" s="55"/>
      <c r="O15" s="53"/>
      <c r="P15" s="56"/>
      <c r="Q15" s="55"/>
      <c r="R15" s="53"/>
      <c r="S15" s="53"/>
      <c r="T15" s="55"/>
      <c r="U15" s="55"/>
      <c r="V15" s="53"/>
      <c r="W15" s="53"/>
      <c r="X15" s="1092" t="s">
        <v>66</v>
      </c>
      <c r="Y15" s="1092"/>
      <c r="Z15" s="1092"/>
      <c r="AA15" s="1092"/>
      <c r="AB15" s="55"/>
      <c r="AC15" s="55"/>
      <c r="AD15" s="55"/>
      <c r="AE15" s="55"/>
      <c r="AF15" s="57"/>
      <c r="AG15" s="58"/>
      <c r="AH15" s="58"/>
      <c r="AI15" s="55"/>
      <c r="AJ15" s="58"/>
      <c r="AK15" s="104"/>
      <c r="AL15" s="104"/>
      <c r="AM15" s="104"/>
      <c r="AN15" s="55"/>
      <c r="AO15" s="55"/>
      <c r="AP15" s="55"/>
      <c r="AQ15" s="102"/>
      <c r="AR15" s="102"/>
    </row>
    <row r="16" spans="1:44" ht="24" customHeight="1" thickBot="1">
      <c r="A16" s="1102" t="s">
        <v>1648</v>
      </c>
      <c r="B16" s="1102" t="s">
        <v>117</v>
      </c>
      <c r="C16" s="1102" t="s">
        <v>118</v>
      </c>
      <c r="D16" s="1093" t="s">
        <v>119</v>
      </c>
      <c r="E16" s="1101"/>
      <c r="F16" s="1101"/>
      <c r="G16" s="1101"/>
      <c r="H16" s="1101"/>
      <c r="I16" s="1101"/>
      <c r="J16" s="1101"/>
      <c r="K16" s="1094"/>
      <c r="L16" s="1111" t="s">
        <v>606</v>
      </c>
      <c r="M16" s="1112"/>
      <c r="N16" s="1113"/>
      <c r="O16" s="1111" t="s">
        <v>607</v>
      </c>
      <c r="P16" s="1112"/>
      <c r="Q16" s="1113"/>
      <c r="R16" s="105"/>
      <c r="S16" s="105"/>
      <c r="T16" s="1160" t="s">
        <v>1649</v>
      </c>
      <c r="U16" s="1161"/>
      <c r="V16" s="49"/>
      <c r="W16" s="49"/>
      <c r="X16" s="1102" t="s">
        <v>1648</v>
      </c>
      <c r="Y16" s="1164" t="s">
        <v>121</v>
      </c>
      <c r="Z16" s="1101"/>
      <c r="AA16" s="1101"/>
      <c r="AB16" s="1101"/>
      <c r="AC16" s="1101"/>
      <c r="AD16" s="1101"/>
      <c r="AE16" s="1101"/>
      <c r="AF16" s="1101"/>
      <c r="AG16" s="1101"/>
      <c r="AH16" s="1101"/>
      <c r="AI16" s="1101"/>
      <c r="AJ16" s="1101"/>
      <c r="AK16" s="1101"/>
      <c r="AL16" s="1101"/>
      <c r="AM16" s="1094"/>
      <c r="AN16" s="504"/>
      <c r="AO16" s="505"/>
      <c r="AP16" s="55"/>
      <c r="AQ16" s="102"/>
      <c r="AR16" s="102"/>
    </row>
    <row r="17" spans="1:44" ht="19.5" customHeight="1" thickBot="1">
      <c r="A17" s="1117"/>
      <c r="B17" s="1122"/>
      <c r="C17" s="1117"/>
      <c r="D17" s="1102" t="s">
        <v>30</v>
      </c>
      <c r="E17" s="1153" t="s">
        <v>1649</v>
      </c>
      <c r="F17" s="1093" t="s">
        <v>1372</v>
      </c>
      <c r="G17" s="1101"/>
      <c r="H17" s="1101"/>
      <c r="I17" s="1101"/>
      <c r="J17" s="1101"/>
      <c r="K17" s="1094"/>
      <c r="L17" s="1114"/>
      <c r="M17" s="1115"/>
      <c r="N17" s="1116"/>
      <c r="O17" s="1114"/>
      <c r="P17" s="1115"/>
      <c r="Q17" s="1116"/>
      <c r="R17" s="105"/>
      <c r="S17" s="105"/>
      <c r="T17" s="1162"/>
      <c r="U17" s="1145"/>
      <c r="V17" s="49"/>
      <c r="W17" s="49"/>
      <c r="X17" s="1117"/>
      <c r="Y17" s="1164" t="s">
        <v>1377</v>
      </c>
      <c r="Z17" s="1101"/>
      <c r="AA17" s="1101"/>
      <c r="AB17" s="1101"/>
      <c r="AC17" s="1101"/>
      <c r="AD17" s="1101"/>
      <c r="AE17" s="1101"/>
      <c r="AF17" s="1101"/>
      <c r="AG17" s="1094"/>
      <c r="AH17" s="1153" t="s">
        <v>1649</v>
      </c>
      <c r="AI17" s="1093" t="s">
        <v>1378</v>
      </c>
      <c r="AJ17" s="1101"/>
      <c r="AK17" s="1101"/>
      <c r="AL17" s="1101"/>
      <c r="AM17" s="1094"/>
      <c r="AN17" s="1144" t="s">
        <v>1649</v>
      </c>
      <c r="AO17" s="1145"/>
      <c r="AP17" s="55"/>
      <c r="AQ17" s="102"/>
      <c r="AR17" s="102"/>
    </row>
    <row r="18" spans="1:44" ht="25.5" customHeight="1" thickBot="1">
      <c r="A18" s="1117"/>
      <c r="B18" s="1122"/>
      <c r="C18" s="1117"/>
      <c r="D18" s="1141"/>
      <c r="E18" s="1154"/>
      <c r="F18" s="1108" t="s">
        <v>1650</v>
      </c>
      <c r="G18" s="1108"/>
      <c r="H18" s="508" t="s">
        <v>1649</v>
      </c>
      <c r="I18" s="1102" t="s">
        <v>1374</v>
      </c>
      <c r="J18" s="1102" t="s">
        <v>1651</v>
      </c>
      <c r="K18" s="1105" t="s">
        <v>1675</v>
      </c>
      <c r="L18" s="1102" t="s">
        <v>30</v>
      </c>
      <c r="M18" s="1093" t="s">
        <v>1372</v>
      </c>
      <c r="N18" s="1137"/>
      <c r="O18" s="1102" t="s">
        <v>30</v>
      </c>
      <c r="P18" s="1093" t="s">
        <v>1372</v>
      </c>
      <c r="Q18" s="1094"/>
      <c r="R18" s="105"/>
      <c r="S18" s="105"/>
      <c r="T18" s="1162"/>
      <c r="U18" s="1145"/>
      <c r="V18" s="49"/>
      <c r="W18" s="49"/>
      <c r="X18" s="1117"/>
      <c r="Y18" s="1102" t="s">
        <v>30</v>
      </c>
      <c r="Z18" s="1093" t="s">
        <v>1379</v>
      </c>
      <c r="AA18" s="1101"/>
      <c r="AB18" s="1094"/>
      <c r="AC18" s="506" t="s">
        <v>1649</v>
      </c>
      <c r="AD18" s="1093" t="s">
        <v>1380</v>
      </c>
      <c r="AE18" s="1148"/>
      <c r="AF18" s="1148"/>
      <c r="AG18" s="1095"/>
      <c r="AH18" s="1139"/>
      <c r="AI18" s="1102" t="s">
        <v>30</v>
      </c>
      <c r="AJ18" s="1093" t="s">
        <v>1381</v>
      </c>
      <c r="AK18" s="1167"/>
      <c r="AL18" s="1093" t="s">
        <v>1382</v>
      </c>
      <c r="AM18" s="1095"/>
      <c r="AN18" s="1144"/>
      <c r="AO18" s="1145"/>
      <c r="AP18" s="55"/>
      <c r="AQ18" s="102"/>
      <c r="AR18" s="102"/>
    </row>
    <row r="19" spans="1:44" ht="32.25" customHeight="1" thickBot="1">
      <c r="A19" s="1103"/>
      <c r="B19" s="1123"/>
      <c r="C19" s="1103"/>
      <c r="D19" s="1104"/>
      <c r="E19" s="1139"/>
      <c r="F19" s="518" t="s">
        <v>1376</v>
      </c>
      <c r="G19" s="518" t="s">
        <v>1653</v>
      </c>
      <c r="H19" s="584"/>
      <c r="I19" s="1135"/>
      <c r="J19" s="1135"/>
      <c r="K19" s="1157"/>
      <c r="L19" s="1103"/>
      <c r="M19" s="105" t="s">
        <v>1654</v>
      </c>
      <c r="N19" s="516" t="s">
        <v>1655</v>
      </c>
      <c r="O19" s="1103"/>
      <c r="P19" s="516" t="s">
        <v>1654</v>
      </c>
      <c r="Q19" s="510" t="s">
        <v>1655</v>
      </c>
      <c r="R19" s="105"/>
      <c r="S19" s="105"/>
      <c r="T19" s="1163"/>
      <c r="U19" s="1147"/>
      <c r="V19" s="49"/>
      <c r="W19" s="49"/>
      <c r="X19" s="1103"/>
      <c r="Y19" s="1104"/>
      <c r="Z19" s="585">
        <v>2.5</v>
      </c>
      <c r="AA19" s="586">
        <v>2</v>
      </c>
      <c r="AB19" s="587" t="s">
        <v>106</v>
      </c>
      <c r="AC19" s="521"/>
      <c r="AD19" s="516" t="s">
        <v>1656</v>
      </c>
      <c r="AE19" s="525" t="s">
        <v>1657</v>
      </c>
      <c r="AF19" s="516" t="s">
        <v>1658</v>
      </c>
      <c r="AG19" s="588" t="s">
        <v>1659</v>
      </c>
      <c r="AH19" s="1100"/>
      <c r="AI19" s="1103"/>
      <c r="AJ19" s="589">
        <v>2</v>
      </c>
      <c r="AK19" s="516" t="s">
        <v>105</v>
      </c>
      <c r="AL19" s="590" t="s">
        <v>1660</v>
      </c>
      <c r="AM19" s="516" t="s">
        <v>1661</v>
      </c>
      <c r="AN19" s="1146"/>
      <c r="AO19" s="1147"/>
      <c r="AP19" s="55"/>
      <c r="AQ19" s="102"/>
      <c r="AR19" s="102"/>
    </row>
    <row r="20" spans="1:44" ht="30" customHeight="1" thickBot="1">
      <c r="A20" s="526">
        <v>1</v>
      </c>
      <c r="B20" s="526" t="s">
        <v>107</v>
      </c>
      <c r="C20" s="516">
        <v>3</v>
      </c>
      <c r="D20" s="591" t="s">
        <v>109</v>
      </c>
      <c r="E20" s="592" t="s">
        <v>1662</v>
      </c>
      <c r="F20" s="516">
        <v>5</v>
      </c>
      <c r="G20" s="516">
        <v>6</v>
      </c>
      <c r="H20" s="593" t="s">
        <v>1663</v>
      </c>
      <c r="I20" s="516">
        <v>7</v>
      </c>
      <c r="J20" s="516">
        <v>8</v>
      </c>
      <c r="K20" s="516">
        <v>9</v>
      </c>
      <c r="L20" s="522" t="s">
        <v>110</v>
      </c>
      <c r="M20" s="518">
        <v>11</v>
      </c>
      <c r="N20" s="518">
        <v>12</v>
      </c>
      <c r="O20" s="522" t="s">
        <v>112</v>
      </c>
      <c r="P20" s="518">
        <v>14</v>
      </c>
      <c r="Q20" s="530">
        <v>15</v>
      </c>
      <c r="R20" s="106"/>
      <c r="S20" s="106"/>
      <c r="T20" s="531" t="s">
        <v>1664</v>
      </c>
      <c r="U20" s="531" t="s">
        <v>1665</v>
      </c>
      <c r="V20" s="50"/>
      <c r="W20" s="50"/>
      <c r="X20" s="532" t="s">
        <v>1666</v>
      </c>
      <c r="Y20" s="516" t="s">
        <v>114</v>
      </c>
      <c r="Z20" s="516">
        <v>17</v>
      </c>
      <c r="AA20" s="516">
        <v>18</v>
      </c>
      <c r="AB20" s="501">
        <v>19</v>
      </c>
      <c r="AC20" s="528" t="s">
        <v>1667</v>
      </c>
      <c r="AD20" s="516">
        <v>20</v>
      </c>
      <c r="AE20" s="522">
        <v>21</v>
      </c>
      <c r="AF20" s="516">
        <v>22</v>
      </c>
      <c r="AG20" s="501">
        <v>23</v>
      </c>
      <c r="AH20" s="528" t="s">
        <v>1668</v>
      </c>
      <c r="AI20" s="516" t="s">
        <v>115</v>
      </c>
      <c r="AJ20" s="520">
        <v>25</v>
      </c>
      <c r="AK20" s="516">
        <v>26</v>
      </c>
      <c r="AL20" s="532">
        <v>27</v>
      </c>
      <c r="AM20" s="516">
        <v>28</v>
      </c>
      <c r="AN20" s="533" t="s">
        <v>1669</v>
      </c>
      <c r="AO20" s="531" t="s">
        <v>1670</v>
      </c>
      <c r="AP20" s="55"/>
      <c r="AQ20" s="102"/>
      <c r="AR20" s="102"/>
    </row>
    <row r="21" spans="1:44" ht="15" customHeight="1" thickBot="1">
      <c r="A21" s="534" t="s">
        <v>1671</v>
      </c>
      <c r="B21" s="535">
        <v>10134</v>
      </c>
      <c r="C21" s="536">
        <v>24</v>
      </c>
      <c r="D21" s="535">
        <v>10110</v>
      </c>
      <c r="E21" s="594" t="b">
        <f>B21=(C21+D21)</f>
        <v>1</v>
      </c>
      <c r="F21" s="539">
        <v>7168</v>
      </c>
      <c r="G21" s="540">
        <v>2942</v>
      </c>
      <c r="H21" s="594" t="b">
        <f>D21=(F21+G21)</f>
        <v>1</v>
      </c>
      <c r="I21" s="539">
        <v>3142</v>
      </c>
      <c r="J21" s="539">
        <v>536</v>
      </c>
      <c r="K21" s="539">
        <v>0</v>
      </c>
      <c r="L21" s="543">
        <f>M21+N21</f>
        <v>2525</v>
      </c>
      <c r="M21" s="560">
        <v>2093</v>
      </c>
      <c r="N21" s="561">
        <v>432</v>
      </c>
      <c r="O21" s="546">
        <f>SUM(P21:Q21)</f>
        <v>334</v>
      </c>
      <c r="P21" s="547">
        <v>245</v>
      </c>
      <c r="Q21" s="548">
        <v>89</v>
      </c>
      <c r="R21" s="107"/>
      <c r="S21" s="107"/>
      <c r="T21" s="549" t="b">
        <f>N21+M21=L21</f>
        <v>1</v>
      </c>
      <c r="U21" s="550" t="b">
        <f>O21=P21+Q21</f>
        <v>1</v>
      </c>
      <c r="V21" s="51"/>
      <c r="W21" s="51"/>
      <c r="X21" s="534" t="s">
        <v>1671</v>
      </c>
      <c r="Y21" s="565">
        <v>2982</v>
      </c>
      <c r="Z21" s="566">
        <v>2466</v>
      </c>
      <c r="AA21" s="567">
        <v>516</v>
      </c>
      <c r="AB21" s="554">
        <v>0</v>
      </c>
      <c r="AC21" s="538" t="b">
        <f>Y21=Z21+AA21+AB21</f>
        <v>1</v>
      </c>
      <c r="AD21" s="567">
        <v>0</v>
      </c>
      <c r="AE21" s="566">
        <v>0</v>
      </c>
      <c r="AF21" s="567">
        <v>889</v>
      </c>
      <c r="AG21" s="568">
        <v>2093</v>
      </c>
      <c r="AH21" s="556" t="b">
        <f>Y21=AD21+AE21+AF21+AG21</f>
        <v>1</v>
      </c>
      <c r="AI21" s="565">
        <v>7128</v>
      </c>
      <c r="AJ21" s="566">
        <v>1877</v>
      </c>
      <c r="AK21" s="557">
        <v>5251</v>
      </c>
      <c r="AL21" s="566">
        <v>4651</v>
      </c>
      <c r="AM21" s="567">
        <v>2477</v>
      </c>
      <c r="AN21" s="558" t="b">
        <f>AJ21+AK21=AL21+AM21</f>
        <v>1</v>
      </c>
      <c r="AO21" s="559" t="b">
        <f>D21=Y21+AI21</f>
        <v>1</v>
      </c>
      <c r="AP21" s="55"/>
      <c r="AQ21" s="102"/>
      <c r="AR21" s="102"/>
    </row>
    <row r="22" spans="1:44" ht="15" customHeight="1" thickBot="1">
      <c r="A22" s="534" t="s">
        <v>1672</v>
      </c>
      <c r="B22" s="535">
        <v>15822</v>
      </c>
      <c r="C22" s="536">
        <v>21</v>
      </c>
      <c r="D22" s="535">
        <v>15801</v>
      </c>
      <c r="E22" s="594" t="b">
        <f>B22=(C22+D22)</f>
        <v>1</v>
      </c>
      <c r="F22" s="539">
        <v>9325</v>
      </c>
      <c r="G22" s="540">
        <v>6476</v>
      </c>
      <c r="H22" s="594" t="b">
        <f>D22=(F22+G22)</f>
        <v>1</v>
      </c>
      <c r="I22" s="539">
        <v>6237</v>
      </c>
      <c r="J22" s="539">
        <v>1386</v>
      </c>
      <c r="K22" s="539">
        <v>0</v>
      </c>
      <c r="L22" s="543">
        <f>M22+N22</f>
        <v>3664</v>
      </c>
      <c r="M22" s="595">
        <v>2788</v>
      </c>
      <c r="N22" s="596">
        <v>876</v>
      </c>
      <c r="O22" s="597">
        <f>SUM(P22:Q22)</f>
        <v>804</v>
      </c>
      <c r="P22" s="563">
        <v>542</v>
      </c>
      <c r="Q22" s="564">
        <v>262</v>
      </c>
      <c r="R22" s="107"/>
      <c r="S22" s="107"/>
      <c r="T22" s="549" t="b">
        <f>N22+M22=L22</f>
        <v>1</v>
      </c>
      <c r="U22" s="550" t="b">
        <f>O22=P22+Q22</f>
        <v>1</v>
      </c>
      <c r="V22" s="51"/>
      <c r="W22" s="51"/>
      <c r="X22" s="534" t="s">
        <v>1672</v>
      </c>
      <c r="Y22" s="565">
        <v>5137</v>
      </c>
      <c r="Z22" s="566">
        <v>0</v>
      </c>
      <c r="AA22" s="567">
        <v>5137</v>
      </c>
      <c r="AB22" s="554">
        <v>0</v>
      </c>
      <c r="AC22" s="538" t="b">
        <f>Y22=Z22+AA22+AB22</f>
        <v>1</v>
      </c>
      <c r="AD22" s="567">
        <v>0</v>
      </c>
      <c r="AE22" s="566">
        <v>456</v>
      </c>
      <c r="AF22" s="567">
        <v>1893</v>
      </c>
      <c r="AG22" s="568">
        <v>2788</v>
      </c>
      <c r="AH22" s="556" t="b">
        <f>Y22=AD22+AE22+AF22+AG22</f>
        <v>1</v>
      </c>
      <c r="AI22" s="565">
        <v>10664</v>
      </c>
      <c r="AJ22" s="566">
        <v>1007</v>
      </c>
      <c r="AK22" s="557">
        <v>9657</v>
      </c>
      <c r="AL22" s="566">
        <v>6537</v>
      </c>
      <c r="AM22" s="567">
        <v>4127</v>
      </c>
      <c r="AN22" s="558" t="b">
        <f>AJ22+AK22=AL22+AM22</f>
        <v>1</v>
      </c>
      <c r="AO22" s="559" t="b">
        <f>D22=Y22+AI22</f>
        <v>1</v>
      </c>
      <c r="AP22" s="55"/>
      <c r="AQ22" s="102"/>
      <c r="AR22" s="102"/>
    </row>
    <row r="23" spans="1:44" s="110" customFormat="1" ht="15" customHeight="1" thickBot="1">
      <c r="A23" s="569" t="s">
        <v>1673</v>
      </c>
      <c r="B23" s="570">
        <f>SUM(B21:B22)</f>
        <v>25956</v>
      </c>
      <c r="C23" s="571">
        <f>SUM(C21:C22)</f>
        <v>45</v>
      </c>
      <c r="D23" s="571">
        <f>SUM(D21:D22)</f>
        <v>25911</v>
      </c>
      <c r="E23" s="598" t="b">
        <f>B23=(C23+D23)</f>
        <v>1</v>
      </c>
      <c r="F23" s="571">
        <f>SUM(F21:F22)</f>
        <v>16493</v>
      </c>
      <c r="G23" s="573">
        <f>SUM(G21:G22)</f>
        <v>9418</v>
      </c>
      <c r="H23" s="598" t="b">
        <f>D23=(F23+G23)</f>
        <v>1</v>
      </c>
      <c r="I23" s="570">
        <f>SUM(I21:I22)</f>
        <v>9379</v>
      </c>
      <c r="J23" s="573">
        <f>SUM(J21:J22)</f>
        <v>1922</v>
      </c>
      <c r="K23" s="573">
        <f>SUM(K21:K22)</f>
        <v>0</v>
      </c>
      <c r="L23" s="573">
        <f>M23+N23</f>
        <v>6189</v>
      </c>
      <c r="M23" s="573">
        <f>SUM(M21:M22)</f>
        <v>4881</v>
      </c>
      <c r="N23" s="573">
        <f>SUM(N21:N22)</f>
        <v>1308</v>
      </c>
      <c r="O23" s="599">
        <f>SUM(P23:Q23)</f>
        <v>1138</v>
      </c>
      <c r="P23" s="576">
        <f>SUM(P21:P22)</f>
        <v>787</v>
      </c>
      <c r="Q23" s="577">
        <f>SUM(Q21:Q22)</f>
        <v>351</v>
      </c>
      <c r="R23" s="108"/>
      <c r="S23" s="108"/>
      <c r="T23" s="578" t="b">
        <f>N23+M23=L23</f>
        <v>1</v>
      </c>
      <c r="U23" s="579" t="b">
        <f>O23=P23+Q23</f>
        <v>1</v>
      </c>
      <c r="V23" s="52"/>
      <c r="W23" s="52"/>
      <c r="X23" s="569" t="s">
        <v>1673</v>
      </c>
      <c r="Y23" s="580">
        <f>SUM(Y21:Y22)</f>
        <v>8119</v>
      </c>
      <c r="Z23" s="580">
        <f t="shared" ref="Z23:AM23" si="1">SUM(Z21:Z22)</f>
        <v>2466</v>
      </c>
      <c r="AA23" s="580">
        <f t="shared" si="1"/>
        <v>5653</v>
      </c>
      <c r="AB23" s="581">
        <f t="shared" si="1"/>
        <v>0</v>
      </c>
      <c r="AC23" s="572" t="b">
        <f>Y23=Z23+AA23+AB23</f>
        <v>1</v>
      </c>
      <c r="AD23" s="580">
        <f t="shared" si="1"/>
        <v>0</v>
      </c>
      <c r="AE23" s="580">
        <f t="shared" si="1"/>
        <v>456</v>
      </c>
      <c r="AF23" s="580">
        <f t="shared" si="1"/>
        <v>2782</v>
      </c>
      <c r="AG23" s="580">
        <f t="shared" si="1"/>
        <v>4881</v>
      </c>
      <c r="AH23" s="582" t="b">
        <f>Y23=AD23+AE23+AF23+AG23</f>
        <v>1</v>
      </c>
      <c r="AI23" s="580">
        <f t="shared" si="1"/>
        <v>17792</v>
      </c>
      <c r="AJ23" s="580">
        <f t="shared" si="1"/>
        <v>2884</v>
      </c>
      <c r="AK23" s="581">
        <f t="shared" si="1"/>
        <v>14908</v>
      </c>
      <c r="AL23" s="580">
        <f t="shared" si="1"/>
        <v>11188</v>
      </c>
      <c r="AM23" s="580">
        <f t="shared" si="1"/>
        <v>6604</v>
      </c>
      <c r="AN23" s="583" t="b">
        <f>AJ23+AK23=AL23+AM23</f>
        <v>1</v>
      </c>
      <c r="AO23" s="579" t="b">
        <f>D23=Y23+AI23</f>
        <v>1</v>
      </c>
      <c r="AP23" s="109"/>
      <c r="AQ23" s="174"/>
      <c r="AR23" s="174"/>
    </row>
    <row r="24" spans="1:44" ht="8.25" customHeight="1">
      <c r="A24" s="55"/>
      <c r="B24" s="55"/>
      <c r="C24" s="55"/>
      <c r="D24" s="55"/>
      <c r="E24" s="55"/>
      <c r="F24" s="111"/>
      <c r="G24" s="55"/>
      <c r="H24" s="55"/>
      <c r="I24" s="55"/>
      <c r="J24" s="55"/>
      <c r="K24" s="55"/>
      <c r="L24" s="55"/>
      <c r="M24" s="55"/>
      <c r="N24" s="55"/>
      <c r="O24" s="55"/>
      <c r="P24" s="55"/>
      <c r="Q24" s="55"/>
      <c r="R24" s="53"/>
      <c r="S24" s="53"/>
      <c r="T24" s="55"/>
      <c r="U24" s="55"/>
      <c r="V24" s="53"/>
      <c r="W24" s="53"/>
      <c r="X24" s="55"/>
      <c r="Y24" s="55"/>
      <c r="Z24" s="55"/>
      <c r="AA24" s="55"/>
      <c r="AB24" s="55"/>
      <c r="AC24" s="55"/>
      <c r="AD24" s="55"/>
      <c r="AE24" s="55"/>
      <c r="AF24" s="55"/>
      <c r="AG24" s="55"/>
      <c r="AH24" s="55"/>
      <c r="AI24" s="55"/>
      <c r="AJ24" s="55"/>
      <c r="AK24" s="55"/>
      <c r="AL24" s="55"/>
      <c r="AM24" s="55"/>
      <c r="AN24" s="55"/>
      <c r="AO24" s="55"/>
      <c r="AP24" s="55"/>
      <c r="AQ24" s="102"/>
      <c r="AR24" s="102"/>
    </row>
    <row r="25" spans="1:44" ht="15.75" thickBot="1">
      <c r="A25" s="59" t="s">
        <v>1676</v>
      </c>
      <c r="B25" s="54"/>
      <c r="C25" s="54"/>
      <c r="D25" s="54"/>
      <c r="E25" s="54"/>
      <c r="F25" s="54"/>
      <c r="G25" s="59"/>
      <c r="H25" s="59"/>
      <c r="I25" s="54"/>
      <c r="J25" s="54"/>
      <c r="K25" s="54"/>
      <c r="L25" s="55"/>
      <c r="M25" s="55"/>
      <c r="N25" s="55"/>
      <c r="O25" s="55"/>
      <c r="P25" s="108"/>
      <c r="Q25" s="55"/>
      <c r="R25" s="53"/>
      <c r="S25" s="53"/>
      <c r="T25" s="55"/>
      <c r="U25" s="55"/>
      <c r="V25" s="53"/>
      <c r="W25" s="53"/>
      <c r="X25" s="1092" t="s">
        <v>67</v>
      </c>
      <c r="Y25" s="1092"/>
      <c r="Z25" s="1092"/>
      <c r="AA25" s="1092"/>
      <c r="AB25" s="54"/>
      <c r="AC25" s="54"/>
      <c r="AD25" s="54"/>
      <c r="AE25" s="54"/>
      <c r="AF25" s="57"/>
      <c r="AG25" s="54"/>
      <c r="AH25" s="54"/>
      <c r="AI25" s="54"/>
      <c r="AJ25" s="55"/>
      <c r="AK25" s="104"/>
      <c r="AL25" s="104"/>
      <c r="AM25" s="104"/>
      <c r="AN25" s="54"/>
      <c r="AO25" s="55"/>
      <c r="AP25" s="55"/>
      <c r="AQ25" s="102"/>
      <c r="AR25" s="102"/>
    </row>
    <row r="26" spans="1:44" ht="24" customHeight="1" thickBot="1">
      <c r="A26" s="1102" t="s">
        <v>1648</v>
      </c>
      <c r="B26" s="1102" t="s">
        <v>117</v>
      </c>
      <c r="C26" s="1102" t="s">
        <v>118</v>
      </c>
      <c r="D26" s="1093" t="s">
        <v>120</v>
      </c>
      <c r="E26" s="1101"/>
      <c r="F26" s="1101"/>
      <c r="G26" s="1101"/>
      <c r="H26" s="1101"/>
      <c r="I26" s="1101"/>
      <c r="J26" s="1101"/>
      <c r="K26" s="1137"/>
      <c r="L26" s="1111" t="s">
        <v>606</v>
      </c>
      <c r="M26" s="1112"/>
      <c r="N26" s="1113"/>
      <c r="O26" s="1111" t="s">
        <v>607</v>
      </c>
      <c r="P26" s="1112"/>
      <c r="Q26" s="1113"/>
      <c r="R26" s="105"/>
      <c r="S26" s="105"/>
      <c r="T26" s="1160" t="s">
        <v>1649</v>
      </c>
      <c r="U26" s="1161"/>
      <c r="V26" s="49"/>
      <c r="W26" s="49"/>
      <c r="X26" s="1096" t="s">
        <v>1648</v>
      </c>
      <c r="Y26" s="1093" t="s">
        <v>121</v>
      </c>
      <c r="Z26" s="1101"/>
      <c r="AA26" s="1101"/>
      <c r="AB26" s="1101"/>
      <c r="AC26" s="1101"/>
      <c r="AD26" s="1101"/>
      <c r="AE26" s="1101"/>
      <c r="AF26" s="1101"/>
      <c r="AG26" s="1101"/>
      <c r="AH26" s="1101"/>
      <c r="AI26" s="1101"/>
      <c r="AJ26" s="1101"/>
      <c r="AK26" s="1101"/>
      <c r="AL26" s="1101"/>
      <c r="AM26" s="1094"/>
      <c r="AN26" s="504"/>
      <c r="AO26" s="505"/>
      <c r="AP26" s="55"/>
      <c r="AQ26" s="102"/>
      <c r="AR26" s="102"/>
    </row>
    <row r="27" spans="1:44" ht="18.75" customHeight="1" thickBot="1">
      <c r="A27" s="1117"/>
      <c r="B27" s="1122"/>
      <c r="C27" s="1117"/>
      <c r="D27" s="1102" t="s">
        <v>30</v>
      </c>
      <c r="E27" s="1138" t="s">
        <v>1649</v>
      </c>
      <c r="F27" s="1108" t="s">
        <v>1372</v>
      </c>
      <c r="G27" s="1108"/>
      <c r="H27" s="1155"/>
      <c r="I27" s="1108"/>
      <c r="J27" s="1108"/>
      <c r="K27" s="1150"/>
      <c r="L27" s="1114"/>
      <c r="M27" s="1115"/>
      <c r="N27" s="1116"/>
      <c r="O27" s="1114"/>
      <c r="P27" s="1115"/>
      <c r="Q27" s="1116"/>
      <c r="R27" s="105"/>
      <c r="S27" s="105"/>
      <c r="T27" s="1162"/>
      <c r="U27" s="1145"/>
      <c r="V27" s="49"/>
      <c r="W27" s="49"/>
      <c r="X27" s="1121"/>
      <c r="Y27" s="1093" t="s">
        <v>1377</v>
      </c>
      <c r="Z27" s="1101"/>
      <c r="AA27" s="1101"/>
      <c r="AB27" s="1101"/>
      <c r="AC27" s="1101"/>
      <c r="AD27" s="1101"/>
      <c r="AE27" s="1101"/>
      <c r="AF27" s="1101"/>
      <c r="AG27" s="1094"/>
      <c r="AH27" s="1172" t="s">
        <v>1649</v>
      </c>
      <c r="AI27" s="1169" t="s">
        <v>1378</v>
      </c>
      <c r="AJ27" s="1170"/>
      <c r="AK27" s="1170"/>
      <c r="AL27" s="1170"/>
      <c r="AM27" s="1171"/>
      <c r="AN27" s="1144" t="s">
        <v>1649</v>
      </c>
      <c r="AO27" s="1145"/>
      <c r="AP27" s="55"/>
      <c r="AQ27" s="102"/>
      <c r="AR27" s="102"/>
    </row>
    <row r="28" spans="1:44" ht="30" customHeight="1" thickBot="1">
      <c r="A28" s="1117"/>
      <c r="B28" s="1122"/>
      <c r="C28" s="1117"/>
      <c r="D28" s="1117"/>
      <c r="E28" s="1139"/>
      <c r="F28" s="1093" t="s">
        <v>1650</v>
      </c>
      <c r="G28" s="1094"/>
      <c r="H28" s="512" t="s">
        <v>1649</v>
      </c>
      <c r="I28" s="1102" t="s">
        <v>1374</v>
      </c>
      <c r="J28" s="1102" t="s">
        <v>1651</v>
      </c>
      <c r="K28" s="1102" t="s">
        <v>1675</v>
      </c>
      <c r="L28" s="1102" t="s">
        <v>30</v>
      </c>
      <c r="M28" s="1149" t="s">
        <v>1372</v>
      </c>
      <c r="N28" s="1150"/>
      <c r="O28" s="1102" t="s">
        <v>30</v>
      </c>
      <c r="P28" s="1093" t="s">
        <v>1372</v>
      </c>
      <c r="Q28" s="1094"/>
      <c r="R28" s="105"/>
      <c r="S28" s="105"/>
      <c r="T28" s="1162"/>
      <c r="U28" s="1145"/>
      <c r="V28" s="49"/>
      <c r="W28" s="49"/>
      <c r="X28" s="1121"/>
      <c r="Y28" s="1134" t="s">
        <v>30</v>
      </c>
      <c r="Z28" s="1165" t="s">
        <v>1379</v>
      </c>
      <c r="AA28" s="1168"/>
      <c r="AB28" s="1152"/>
      <c r="AC28" s="506" t="s">
        <v>1649</v>
      </c>
      <c r="AD28" s="1165" t="s">
        <v>1383</v>
      </c>
      <c r="AE28" s="1168"/>
      <c r="AF28" s="1168"/>
      <c r="AG28" s="1152"/>
      <c r="AH28" s="1139"/>
      <c r="AI28" s="1102" t="s">
        <v>30</v>
      </c>
      <c r="AJ28" s="1151" t="s">
        <v>1381</v>
      </c>
      <c r="AK28" s="1152"/>
      <c r="AL28" s="1165" t="s">
        <v>1382</v>
      </c>
      <c r="AM28" s="1166"/>
      <c r="AN28" s="1144"/>
      <c r="AO28" s="1145"/>
      <c r="AP28" s="55"/>
      <c r="AQ28" s="102"/>
      <c r="AR28" s="102"/>
    </row>
    <row r="29" spans="1:44" ht="29.25" thickBot="1">
      <c r="A29" s="1135"/>
      <c r="B29" s="1136"/>
      <c r="C29" s="1135"/>
      <c r="D29" s="1103"/>
      <c r="E29" s="1140"/>
      <c r="F29" s="518" t="s">
        <v>1376</v>
      </c>
      <c r="G29" s="518" t="s">
        <v>1653</v>
      </c>
      <c r="H29" s="514"/>
      <c r="I29" s="1103"/>
      <c r="J29" s="1103"/>
      <c r="K29" s="1103"/>
      <c r="L29" s="1103"/>
      <c r="M29" s="516" t="s">
        <v>1654</v>
      </c>
      <c r="N29" s="516" t="s">
        <v>1655</v>
      </c>
      <c r="O29" s="1103"/>
      <c r="P29" s="105" t="s">
        <v>1654</v>
      </c>
      <c r="Q29" s="516" t="s">
        <v>1655</v>
      </c>
      <c r="R29" s="105"/>
      <c r="S29" s="105"/>
      <c r="T29" s="1163"/>
      <c r="U29" s="1147"/>
      <c r="V29" s="49"/>
      <c r="W29" s="49"/>
      <c r="X29" s="1176"/>
      <c r="Y29" s="1097"/>
      <c r="Z29" s="600">
        <v>2.5</v>
      </c>
      <c r="AA29" s="519">
        <v>2</v>
      </c>
      <c r="AB29" s="520" t="s">
        <v>106</v>
      </c>
      <c r="AC29" s="521"/>
      <c r="AD29" s="516" t="s">
        <v>1657</v>
      </c>
      <c r="AE29" s="525" t="s">
        <v>1677</v>
      </c>
      <c r="AF29" s="516" t="s">
        <v>1678</v>
      </c>
      <c r="AG29" s="588" t="s">
        <v>1679</v>
      </c>
      <c r="AH29" s="1100"/>
      <c r="AI29" s="1103"/>
      <c r="AJ29" s="601">
        <v>2</v>
      </c>
      <c r="AK29" s="516" t="s">
        <v>105</v>
      </c>
      <c r="AL29" s="525" t="s">
        <v>1660</v>
      </c>
      <c r="AM29" s="516" t="s">
        <v>1661</v>
      </c>
      <c r="AN29" s="1146"/>
      <c r="AO29" s="1147"/>
      <c r="AP29" s="55"/>
      <c r="AQ29" s="102"/>
      <c r="AR29" s="102"/>
    </row>
    <row r="30" spans="1:44" ht="30" customHeight="1" thickBot="1">
      <c r="A30" s="516">
        <v>1</v>
      </c>
      <c r="B30" s="516" t="s">
        <v>107</v>
      </c>
      <c r="C30" s="516">
        <v>3</v>
      </c>
      <c r="D30" s="503" t="s">
        <v>109</v>
      </c>
      <c r="E30" s="528" t="s">
        <v>1662</v>
      </c>
      <c r="F30" s="516">
        <v>5</v>
      </c>
      <c r="G30" s="501">
        <v>6</v>
      </c>
      <c r="H30" s="528" t="s">
        <v>1663</v>
      </c>
      <c r="I30" s="516">
        <v>7</v>
      </c>
      <c r="J30" s="522">
        <v>8</v>
      </c>
      <c r="K30" s="516">
        <v>9</v>
      </c>
      <c r="L30" s="522" t="s">
        <v>110</v>
      </c>
      <c r="M30" s="518">
        <v>11</v>
      </c>
      <c r="N30" s="518">
        <v>12</v>
      </c>
      <c r="O30" s="516" t="s">
        <v>112</v>
      </c>
      <c r="P30" s="602">
        <v>14</v>
      </c>
      <c r="Q30" s="518">
        <v>15</v>
      </c>
      <c r="R30" s="106"/>
      <c r="S30" s="106"/>
      <c r="T30" s="531" t="s">
        <v>1664</v>
      </c>
      <c r="U30" s="531" t="s">
        <v>1665</v>
      </c>
      <c r="V30" s="50"/>
      <c r="W30" s="50"/>
      <c r="X30" s="532" t="s">
        <v>1666</v>
      </c>
      <c r="Y30" s="516" t="s">
        <v>114</v>
      </c>
      <c r="Z30" s="532">
        <v>17</v>
      </c>
      <c r="AA30" s="516">
        <v>18</v>
      </c>
      <c r="AB30" s="520">
        <v>19</v>
      </c>
      <c r="AC30" s="529" t="s">
        <v>1667</v>
      </c>
      <c r="AD30" s="516">
        <v>20</v>
      </c>
      <c r="AE30" s="522">
        <v>21</v>
      </c>
      <c r="AF30" s="516">
        <v>22</v>
      </c>
      <c r="AG30" s="501">
        <v>23</v>
      </c>
      <c r="AH30" s="528" t="s">
        <v>1668</v>
      </c>
      <c r="AI30" s="516" t="s">
        <v>115</v>
      </c>
      <c r="AJ30" s="522">
        <v>25</v>
      </c>
      <c r="AK30" s="516">
        <v>26</v>
      </c>
      <c r="AL30" s="522">
        <v>27</v>
      </c>
      <c r="AM30" s="516">
        <v>28</v>
      </c>
      <c r="AN30" s="533" t="s">
        <v>1669</v>
      </c>
      <c r="AO30" s="531" t="s">
        <v>1670</v>
      </c>
      <c r="AP30" s="55"/>
      <c r="AQ30" s="102"/>
      <c r="AR30" s="102"/>
    </row>
    <row r="31" spans="1:44" ht="15" customHeight="1" thickBot="1">
      <c r="A31" s="534" t="s">
        <v>1671</v>
      </c>
      <c r="B31" s="535">
        <v>344230</v>
      </c>
      <c r="C31" s="536">
        <v>56</v>
      </c>
      <c r="D31" s="535">
        <v>344174</v>
      </c>
      <c r="E31" s="594" t="b">
        <f>B31=(C31+D31)</f>
        <v>1</v>
      </c>
      <c r="F31" s="539">
        <v>336900</v>
      </c>
      <c r="G31" s="540">
        <v>7274</v>
      </c>
      <c r="H31" s="594" t="b">
        <f>D31=(F31+G31)</f>
        <v>1</v>
      </c>
      <c r="I31" s="539">
        <v>181218</v>
      </c>
      <c r="J31" s="539">
        <v>1345</v>
      </c>
      <c r="K31" s="539">
        <v>0</v>
      </c>
      <c r="L31" s="543">
        <f>M31+N31</f>
        <v>30000</v>
      </c>
      <c r="M31" s="560">
        <v>25000</v>
      </c>
      <c r="N31" s="561">
        <v>5000</v>
      </c>
      <c r="O31" s="546">
        <f>SUM(P31:Q31)</f>
        <v>12637</v>
      </c>
      <c r="P31" s="547">
        <v>11326</v>
      </c>
      <c r="Q31" s="548">
        <v>1311</v>
      </c>
      <c r="R31" s="107"/>
      <c r="S31" s="107"/>
      <c r="T31" s="549" t="b">
        <f>N31+M31=L31</f>
        <v>1</v>
      </c>
      <c r="U31" s="550" t="b">
        <f>O31=P31+Q31</f>
        <v>1</v>
      </c>
      <c r="V31" s="51"/>
      <c r="W31" s="51"/>
      <c r="X31" s="534" t="s">
        <v>1671</v>
      </c>
      <c r="Y31" s="565">
        <v>162950</v>
      </c>
      <c r="Z31" s="566">
        <v>152641</v>
      </c>
      <c r="AA31" s="567">
        <v>10309</v>
      </c>
      <c r="AB31" s="554">
        <v>0</v>
      </c>
      <c r="AC31" s="538" t="b">
        <f>Y31=Z31+AA31+AB31</f>
        <v>1</v>
      </c>
      <c r="AD31" s="567">
        <v>0</v>
      </c>
      <c r="AE31" s="566">
        <v>29651</v>
      </c>
      <c r="AF31" s="567">
        <v>59506</v>
      </c>
      <c r="AG31" s="568">
        <v>73793</v>
      </c>
      <c r="AH31" s="556" t="b">
        <f>Y31=AD31+AE31+AF31+AG31</f>
        <v>1</v>
      </c>
      <c r="AI31" s="565">
        <v>181224</v>
      </c>
      <c r="AJ31" s="566">
        <v>32541</v>
      </c>
      <c r="AK31" s="557">
        <v>148683</v>
      </c>
      <c r="AL31" s="566">
        <v>122405</v>
      </c>
      <c r="AM31" s="567">
        <v>58819</v>
      </c>
      <c r="AN31" s="558" t="b">
        <f>AJ31+AK31=AL31+AM31</f>
        <v>1</v>
      </c>
      <c r="AO31" s="559" t="b">
        <f>D31=Y31+AI31</f>
        <v>1</v>
      </c>
      <c r="AP31" s="55"/>
      <c r="AQ31" s="102"/>
      <c r="AR31" s="102"/>
    </row>
    <row r="32" spans="1:44" ht="15" customHeight="1" thickBot="1">
      <c r="A32" s="534" t="s">
        <v>1672</v>
      </c>
      <c r="B32" s="535">
        <v>60374</v>
      </c>
      <c r="C32" s="536">
        <v>32</v>
      </c>
      <c r="D32" s="535">
        <v>60342</v>
      </c>
      <c r="E32" s="594" t="b">
        <f>B32=(C32+D32)</f>
        <v>1</v>
      </c>
      <c r="F32" s="539">
        <v>49617</v>
      </c>
      <c r="G32" s="540">
        <v>10725</v>
      </c>
      <c r="H32" s="594" t="b">
        <f>D32=(F32+G32)</f>
        <v>1</v>
      </c>
      <c r="I32" s="539">
        <v>21374</v>
      </c>
      <c r="J32" s="539">
        <v>2689</v>
      </c>
      <c r="K32" s="539">
        <v>0</v>
      </c>
      <c r="L32" s="543">
        <f>M32+N32</f>
        <v>8000</v>
      </c>
      <c r="M32" s="595">
        <v>5000</v>
      </c>
      <c r="N32" s="596">
        <v>3000</v>
      </c>
      <c r="O32" s="562">
        <f>SUM(P32:Q32)</f>
        <v>3568</v>
      </c>
      <c r="P32" s="563">
        <v>3075</v>
      </c>
      <c r="Q32" s="564">
        <v>493</v>
      </c>
      <c r="R32" s="107"/>
      <c r="S32" s="107"/>
      <c r="T32" s="549" t="b">
        <f>N32+M32=L32</f>
        <v>1</v>
      </c>
      <c r="U32" s="550" t="b">
        <f>O32=P32+Q32</f>
        <v>1</v>
      </c>
      <c r="V32" s="51"/>
      <c r="W32" s="51"/>
      <c r="X32" s="534" t="s">
        <v>1672</v>
      </c>
      <c r="Y32" s="565">
        <v>26080</v>
      </c>
      <c r="Z32" s="566">
        <v>0</v>
      </c>
      <c r="AA32" s="567">
        <v>26080</v>
      </c>
      <c r="AB32" s="554">
        <v>0</v>
      </c>
      <c r="AC32" s="538" t="b">
        <f>Y32=Z32+AA32+AB32</f>
        <v>1</v>
      </c>
      <c r="AD32" s="567">
        <v>627</v>
      </c>
      <c r="AE32" s="566">
        <v>7298</v>
      </c>
      <c r="AF32" s="567">
        <v>10537</v>
      </c>
      <c r="AG32" s="568">
        <v>7618</v>
      </c>
      <c r="AH32" s="556" t="b">
        <f>Y32=AD32+AE32+AF32+AG32</f>
        <v>1</v>
      </c>
      <c r="AI32" s="565">
        <v>34262</v>
      </c>
      <c r="AJ32" s="566">
        <v>2269</v>
      </c>
      <c r="AK32" s="557">
        <v>31993</v>
      </c>
      <c r="AL32" s="566">
        <v>22264</v>
      </c>
      <c r="AM32" s="567">
        <v>11998</v>
      </c>
      <c r="AN32" s="558" t="b">
        <f>AJ32+AK32=AL32+AM32</f>
        <v>1</v>
      </c>
      <c r="AO32" s="559" t="b">
        <f>D32=Y32+AI32</f>
        <v>1</v>
      </c>
      <c r="AP32" s="55"/>
      <c r="AQ32" s="102"/>
      <c r="AR32" s="102"/>
    </row>
    <row r="33" spans="1:130" s="110" customFormat="1" ht="15" customHeight="1" thickBot="1">
      <c r="A33" s="569" t="s">
        <v>1673</v>
      </c>
      <c r="B33" s="570">
        <f>SUM(B31:B32)</f>
        <v>404604</v>
      </c>
      <c r="C33" s="571">
        <f>SUM(C31:C32)</f>
        <v>88</v>
      </c>
      <c r="D33" s="571">
        <f>SUM(D31:D32)</f>
        <v>404516</v>
      </c>
      <c r="E33" s="598" t="b">
        <f>B33=(C33+D33)</f>
        <v>1</v>
      </c>
      <c r="F33" s="573">
        <f>SUM(F31:F32)</f>
        <v>386517</v>
      </c>
      <c r="G33" s="573">
        <f>SUM(G31:G32)</f>
        <v>17999</v>
      </c>
      <c r="H33" s="598" t="b">
        <f>D33=(F33+G33)</f>
        <v>1</v>
      </c>
      <c r="I33" s="573">
        <f>SUM(I31:I32)</f>
        <v>202592</v>
      </c>
      <c r="J33" s="573">
        <f>SUM(J31:J32)</f>
        <v>4034</v>
      </c>
      <c r="K33" s="573">
        <f>SUM(K31:K32)</f>
        <v>0</v>
      </c>
      <c r="L33" s="573">
        <f>M33+N33</f>
        <v>38000</v>
      </c>
      <c r="M33" s="573">
        <f>SUM(M31:M32)</f>
        <v>30000</v>
      </c>
      <c r="N33" s="573">
        <f>SUM(N31:N32)</f>
        <v>8000</v>
      </c>
      <c r="O33" s="575">
        <f>SUM(O31:O32)</f>
        <v>16205</v>
      </c>
      <c r="P33" s="576">
        <f>SUM(P31:P32)</f>
        <v>14401</v>
      </c>
      <c r="Q33" s="577">
        <f>SUM(Q31:Q32)</f>
        <v>1804</v>
      </c>
      <c r="R33" s="108"/>
      <c r="S33" s="108"/>
      <c r="T33" s="578" t="b">
        <f>N33+M33=L33</f>
        <v>1</v>
      </c>
      <c r="U33" s="579" t="b">
        <f>O33=P33+Q33</f>
        <v>1</v>
      </c>
      <c r="V33" s="52"/>
      <c r="W33" s="52"/>
      <c r="X33" s="569" t="s">
        <v>1673</v>
      </c>
      <c r="Y33" s="603">
        <f>SUM(Y31:Y32)</f>
        <v>189030</v>
      </c>
      <c r="Z33" s="603">
        <f t="shared" ref="Z33:AM33" si="2">SUM(Z31:Z32)</f>
        <v>152641</v>
      </c>
      <c r="AA33" s="603">
        <f t="shared" si="2"/>
        <v>36389</v>
      </c>
      <c r="AB33" s="604">
        <f t="shared" si="2"/>
        <v>0</v>
      </c>
      <c r="AC33" s="572" t="b">
        <f>Y33=Z33+AA33+AB33</f>
        <v>1</v>
      </c>
      <c r="AD33" s="603">
        <f t="shared" si="2"/>
        <v>627</v>
      </c>
      <c r="AE33" s="603">
        <f t="shared" si="2"/>
        <v>36949</v>
      </c>
      <c r="AF33" s="603">
        <f t="shared" si="2"/>
        <v>70043</v>
      </c>
      <c r="AG33" s="603">
        <f t="shared" si="2"/>
        <v>81411</v>
      </c>
      <c r="AH33" s="582" t="b">
        <f>Y33=AD33+AE33+AF33+AG33</f>
        <v>1</v>
      </c>
      <c r="AI33" s="603">
        <f t="shared" si="2"/>
        <v>215486</v>
      </c>
      <c r="AJ33" s="603">
        <f t="shared" si="2"/>
        <v>34810</v>
      </c>
      <c r="AK33" s="604">
        <f t="shared" si="2"/>
        <v>180676</v>
      </c>
      <c r="AL33" s="603">
        <f t="shared" si="2"/>
        <v>144669</v>
      </c>
      <c r="AM33" s="603">
        <f t="shared" si="2"/>
        <v>70817</v>
      </c>
      <c r="AN33" s="583" t="b">
        <f>AJ33+AK33=AL33+AM33</f>
        <v>1</v>
      </c>
      <c r="AO33" s="583" t="b">
        <f>D33=Y33+AI33</f>
        <v>1</v>
      </c>
      <c r="AP33" s="109"/>
      <c r="AQ33" s="174"/>
      <c r="AR33" s="174"/>
    </row>
    <row r="34" spans="1:130" s="115" customFormat="1" ht="8.25" customHeight="1">
      <c r="A34" s="105"/>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14"/>
      <c r="AP34" s="114"/>
      <c r="AQ34" s="175"/>
      <c r="AR34" s="175"/>
    </row>
    <row r="35" spans="1:130" ht="15.75" thickBot="1">
      <c r="A35" s="59" t="s">
        <v>14</v>
      </c>
      <c r="B35" s="54"/>
      <c r="C35" s="54"/>
      <c r="D35" s="54"/>
      <c r="E35" s="54"/>
      <c r="F35" s="55"/>
      <c r="G35" s="59"/>
      <c r="H35" s="59"/>
      <c r="I35" s="54"/>
      <c r="J35" s="54"/>
      <c r="K35" s="54"/>
      <c r="L35" s="54"/>
      <c r="M35" s="54"/>
      <c r="N35" s="54"/>
      <c r="O35" s="54"/>
      <c r="P35" s="54"/>
      <c r="Q35" s="54"/>
      <c r="R35" s="108"/>
      <c r="S35" s="48"/>
      <c r="T35" s="54"/>
      <c r="U35" s="56" t="s">
        <v>1680</v>
      </c>
      <c r="V35" s="56"/>
      <c r="W35" s="54"/>
      <c r="X35" s="1092" t="s">
        <v>1373</v>
      </c>
      <c r="Y35" s="1092"/>
      <c r="Z35" s="1092"/>
      <c r="AA35" s="1092"/>
      <c r="AB35" s="54"/>
      <c r="AC35" s="54"/>
      <c r="AD35" s="54"/>
      <c r="AE35" s="54"/>
      <c r="AF35" s="57"/>
      <c r="AG35" s="54"/>
      <c r="AH35" s="54"/>
      <c r="AI35" s="54"/>
      <c r="AJ35" s="55"/>
      <c r="AK35" s="104"/>
      <c r="AL35" s="104"/>
      <c r="AM35" s="104"/>
      <c r="AN35" s="54"/>
      <c r="AO35" s="55"/>
      <c r="AP35" s="55"/>
      <c r="AQ35" s="102"/>
      <c r="AR35" s="102"/>
    </row>
    <row r="36" spans="1:130" ht="29.25" customHeight="1" thickBot="1">
      <c r="A36" s="1096" t="s">
        <v>1648</v>
      </c>
      <c r="B36" s="1102" t="s">
        <v>117</v>
      </c>
      <c r="C36" s="1124" t="s">
        <v>118</v>
      </c>
      <c r="D36" s="1093" t="s">
        <v>120</v>
      </c>
      <c r="E36" s="1101"/>
      <c r="F36" s="1101"/>
      <c r="G36" s="1101"/>
      <c r="H36" s="1101"/>
      <c r="I36" s="1101"/>
      <c r="J36" s="1101"/>
      <c r="K36" s="1101"/>
      <c r="L36" s="1101"/>
      <c r="M36" s="1094"/>
      <c r="N36" s="1111" t="s">
        <v>606</v>
      </c>
      <c r="O36" s="1112"/>
      <c r="P36" s="1113"/>
      <c r="Q36" s="1111" t="s">
        <v>607</v>
      </c>
      <c r="R36" s="1112"/>
      <c r="S36" s="1113"/>
      <c r="T36" s="605" t="s">
        <v>1649</v>
      </c>
      <c r="U36" s="502"/>
      <c r="V36" s="606" t="s">
        <v>1649</v>
      </c>
      <c r="W36" s="116"/>
      <c r="X36" s="1102" t="s">
        <v>1648</v>
      </c>
      <c r="Y36" s="1093" t="s">
        <v>121</v>
      </c>
      <c r="Z36" s="1101"/>
      <c r="AA36" s="1101"/>
      <c r="AB36" s="1101"/>
      <c r="AC36" s="1101"/>
      <c r="AD36" s="1101"/>
      <c r="AE36" s="1101"/>
      <c r="AF36" s="1101"/>
      <c r="AG36" s="1101"/>
      <c r="AH36" s="1101"/>
      <c r="AI36" s="1101"/>
      <c r="AJ36" s="1101"/>
      <c r="AK36" s="1101"/>
      <c r="AL36" s="1101"/>
      <c r="AM36" s="1094"/>
      <c r="AN36" s="504"/>
      <c r="AO36" s="505"/>
      <c r="AP36" s="53"/>
      <c r="AQ36" s="176"/>
      <c r="AR36" s="176"/>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c r="DZ36" s="117"/>
    </row>
    <row r="37" spans="1:130" ht="24" customHeight="1" thickBot="1">
      <c r="A37" s="1121"/>
      <c r="B37" s="1122"/>
      <c r="C37" s="1125"/>
      <c r="D37" s="1127" t="s">
        <v>30</v>
      </c>
      <c r="E37" s="1098" t="s">
        <v>1649</v>
      </c>
      <c r="F37" s="1093" t="s">
        <v>1372</v>
      </c>
      <c r="G37" s="1101"/>
      <c r="H37" s="1101"/>
      <c r="I37" s="1101"/>
      <c r="J37" s="1101"/>
      <c r="K37" s="1101"/>
      <c r="L37" s="1101"/>
      <c r="M37" s="1094"/>
      <c r="N37" s="1114"/>
      <c r="O37" s="1115"/>
      <c r="P37" s="1116"/>
      <c r="Q37" s="1114"/>
      <c r="R37" s="1115"/>
      <c r="S37" s="1116"/>
      <c r="T37" s="49"/>
      <c r="U37" s="507"/>
      <c r="V37" s="607"/>
      <c r="W37" s="53"/>
      <c r="X37" s="1117"/>
      <c r="Y37" s="1107" t="s">
        <v>1377</v>
      </c>
      <c r="Z37" s="1108"/>
      <c r="AA37" s="1108"/>
      <c r="AB37" s="1108"/>
      <c r="AC37" s="1108"/>
      <c r="AD37" s="1108"/>
      <c r="AE37" s="1108"/>
      <c r="AF37" s="1108"/>
      <c r="AG37" s="1109"/>
      <c r="AH37" s="49" t="s">
        <v>1649</v>
      </c>
      <c r="AI37" s="1118" t="s">
        <v>1378</v>
      </c>
      <c r="AJ37" s="1119"/>
      <c r="AK37" s="1119"/>
      <c r="AL37" s="1119"/>
      <c r="AM37" s="1120"/>
      <c r="AN37" s="49" t="s">
        <v>1649</v>
      </c>
      <c r="AO37" s="507"/>
      <c r="AP37" s="53"/>
      <c r="AQ37" s="176"/>
      <c r="AR37" s="176"/>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row>
    <row r="38" spans="1:130" ht="29.25" customHeight="1" thickBot="1">
      <c r="A38" s="1121"/>
      <c r="B38" s="1122"/>
      <c r="C38" s="1125"/>
      <c r="D38" s="1128"/>
      <c r="E38" s="1099"/>
      <c r="F38" s="1093" t="s">
        <v>1650</v>
      </c>
      <c r="G38" s="1094"/>
      <c r="H38" s="506" t="s">
        <v>1649</v>
      </c>
      <c r="I38" s="1102" t="s">
        <v>1681</v>
      </c>
      <c r="J38" s="1105" t="s">
        <v>1682</v>
      </c>
      <c r="K38" s="1102" t="s">
        <v>1375</v>
      </c>
      <c r="L38" s="1102" t="s">
        <v>1651</v>
      </c>
      <c r="M38" s="1129" t="s">
        <v>1652</v>
      </c>
      <c r="N38" s="1134" t="s">
        <v>30</v>
      </c>
      <c r="O38" s="1093" t="s">
        <v>1372</v>
      </c>
      <c r="P38" s="1094"/>
      <c r="Q38" s="1105" t="s">
        <v>30</v>
      </c>
      <c r="R38" s="1093" t="s">
        <v>1372</v>
      </c>
      <c r="S38" s="1094"/>
      <c r="T38" s="49"/>
      <c r="U38" s="507"/>
      <c r="V38" s="607"/>
      <c r="W38" s="53"/>
      <c r="X38" s="1117"/>
      <c r="Y38" s="1096" t="s">
        <v>30</v>
      </c>
      <c r="Z38" s="1131" t="s">
        <v>1379</v>
      </c>
      <c r="AA38" s="1132"/>
      <c r="AB38" s="1133"/>
      <c r="AC38" s="605" t="s">
        <v>1649</v>
      </c>
      <c r="AD38" s="1131" t="s">
        <v>1383</v>
      </c>
      <c r="AE38" s="1132"/>
      <c r="AF38" s="1132"/>
      <c r="AG38" s="1133"/>
      <c r="AH38" s="511"/>
      <c r="AI38" s="1096" t="s">
        <v>30</v>
      </c>
      <c r="AJ38" s="1093" t="s">
        <v>1381</v>
      </c>
      <c r="AK38" s="1094"/>
      <c r="AL38" s="1093" t="s">
        <v>1382</v>
      </c>
      <c r="AM38" s="1095"/>
      <c r="AN38" s="49"/>
      <c r="AO38" s="507"/>
      <c r="AP38" s="53"/>
      <c r="AQ38" s="176"/>
      <c r="AR38" s="176"/>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c r="DZ38" s="117"/>
    </row>
    <row r="39" spans="1:130" ht="38.25" customHeight="1" thickBot="1">
      <c r="A39" s="1097"/>
      <c r="B39" s="1123"/>
      <c r="C39" s="1126"/>
      <c r="D39" s="1114"/>
      <c r="E39" s="1100"/>
      <c r="F39" s="585" t="s">
        <v>1376</v>
      </c>
      <c r="G39" s="518" t="s">
        <v>1653</v>
      </c>
      <c r="H39" s="521"/>
      <c r="I39" s="1104"/>
      <c r="J39" s="1106"/>
      <c r="K39" s="1103"/>
      <c r="L39" s="1103"/>
      <c r="M39" s="1130"/>
      <c r="N39" s="1097"/>
      <c r="O39" s="590" t="s">
        <v>1654</v>
      </c>
      <c r="P39" s="516" t="s">
        <v>1655</v>
      </c>
      <c r="Q39" s="1126"/>
      <c r="R39" s="516" t="s">
        <v>1654</v>
      </c>
      <c r="S39" s="587" t="s">
        <v>1655</v>
      </c>
      <c r="T39" s="527"/>
      <c r="U39" s="517"/>
      <c r="V39" s="608"/>
      <c r="W39" s="53"/>
      <c r="X39" s="1103"/>
      <c r="Y39" s="1097"/>
      <c r="Z39" s="519">
        <v>2.5</v>
      </c>
      <c r="AA39" s="519">
        <v>2</v>
      </c>
      <c r="AB39" s="520" t="s">
        <v>106</v>
      </c>
      <c r="AC39" s="609"/>
      <c r="AD39" s="532" t="s">
        <v>1657</v>
      </c>
      <c r="AE39" s="516" t="s">
        <v>1677</v>
      </c>
      <c r="AF39" s="522" t="s">
        <v>1678</v>
      </c>
      <c r="AG39" s="516" t="s">
        <v>1679</v>
      </c>
      <c r="AH39" s="523"/>
      <c r="AI39" s="1097"/>
      <c r="AJ39" s="519">
        <v>2</v>
      </c>
      <c r="AK39" s="516" t="s">
        <v>105</v>
      </c>
      <c r="AL39" s="526" t="s">
        <v>1660</v>
      </c>
      <c r="AM39" s="587" t="s">
        <v>1661</v>
      </c>
      <c r="AN39" s="527"/>
      <c r="AO39" s="517"/>
      <c r="AP39" s="53"/>
      <c r="AQ39" s="176"/>
      <c r="AR39" s="176"/>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row>
    <row r="40" spans="1:130" ht="30" customHeight="1" thickBot="1">
      <c r="A40" s="532">
        <v>1</v>
      </c>
      <c r="B40" s="516" t="s">
        <v>107</v>
      </c>
      <c r="C40" s="516">
        <v>3</v>
      </c>
      <c r="D40" s="501" t="s">
        <v>108</v>
      </c>
      <c r="E40" s="610" t="s">
        <v>1662</v>
      </c>
      <c r="F40" s="532">
        <v>5</v>
      </c>
      <c r="G40" s="516">
        <v>6</v>
      </c>
      <c r="H40" s="611" t="s">
        <v>1663</v>
      </c>
      <c r="I40" s="516">
        <v>7</v>
      </c>
      <c r="J40" s="516">
        <v>8</v>
      </c>
      <c r="K40" s="522">
        <v>9</v>
      </c>
      <c r="L40" s="516">
        <v>10</v>
      </c>
      <c r="M40" s="518">
        <v>11</v>
      </c>
      <c r="N40" s="522" t="s">
        <v>111</v>
      </c>
      <c r="O40" s="518">
        <v>13</v>
      </c>
      <c r="P40" s="518">
        <v>14</v>
      </c>
      <c r="Q40" s="602" t="s">
        <v>191</v>
      </c>
      <c r="R40" s="518">
        <v>16</v>
      </c>
      <c r="S40" s="530">
        <v>17</v>
      </c>
      <c r="T40" s="612" t="s">
        <v>1665</v>
      </c>
      <c r="U40" s="613" t="s">
        <v>1683</v>
      </c>
      <c r="V40" s="614" t="s">
        <v>1684</v>
      </c>
      <c r="W40" s="53"/>
      <c r="X40" s="516" t="s">
        <v>1666</v>
      </c>
      <c r="Y40" s="509" t="s">
        <v>113</v>
      </c>
      <c r="Z40" s="526">
        <v>19</v>
      </c>
      <c r="AA40" s="526">
        <v>20</v>
      </c>
      <c r="AB40" s="591">
        <v>21</v>
      </c>
      <c r="AC40" s="615" t="s">
        <v>1667</v>
      </c>
      <c r="AD40" s="532">
        <v>22</v>
      </c>
      <c r="AE40" s="516">
        <v>23</v>
      </c>
      <c r="AF40" s="522">
        <v>24</v>
      </c>
      <c r="AG40" s="516">
        <v>25</v>
      </c>
      <c r="AH40" s="616" t="s">
        <v>1668</v>
      </c>
      <c r="AI40" s="617" t="s">
        <v>116</v>
      </c>
      <c r="AJ40" s="516">
        <v>27</v>
      </c>
      <c r="AK40" s="516">
        <v>28</v>
      </c>
      <c r="AL40" s="509">
        <v>29</v>
      </c>
      <c r="AM40" s="516">
        <v>30</v>
      </c>
      <c r="AN40" s="533" t="s">
        <v>1669</v>
      </c>
      <c r="AO40" s="531" t="s">
        <v>1670</v>
      </c>
      <c r="AP40" s="53"/>
      <c r="AQ40" s="176"/>
      <c r="AR40" s="176"/>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7"/>
      <c r="DM40" s="117"/>
      <c r="DN40" s="117"/>
      <c r="DO40" s="117"/>
      <c r="DP40" s="117"/>
      <c r="DQ40" s="117"/>
      <c r="DR40" s="117"/>
      <c r="DS40" s="117"/>
      <c r="DT40" s="117"/>
      <c r="DU40" s="117"/>
      <c r="DV40" s="117"/>
      <c r="DW40" s="117"/>
      <c r="DX40" s="117"/>
      <c r="DY40" s="117"/>
      <c r="DZ40" s="117"/>
    </row>
    <row r="41" spans="1:130" ht="15" customHeight="1" thickBot="1">
      <c r="A41" s="618" t="s">
        <v>1671</v>
      </c>
      <c r="B41" s="619">
        <f t="shared" ref="B41:G42" si="3">B11+B21+B31</f>
        <v>355913</v>
      </c>
      <c r="C41" s="619">
        <f t="shared" si="3"/>
        <v>86</v>
      </c>
      <c r="D41" s="619">
        <f t="shared" si="3"/>
        <v>355827</v>
      </c>
      <c r="E41" s="620" t="b">
        <f>B41=(C41+D41)</f>
        <v>1</v>
      </c>
      <c r="F41" s="619">
        <f t="shared" si="3"/>
        <v>345350</v>
      </c>
      <c r="G41" s="619">
        <f t="shared" si="3"/>
        <v>10477</v>
      </c>
      <c r="H41" s="620" t="b">
        <f>D41=(F41+G41)</f>
        <v>1</v>
      </c>
      <c r="I41" s="621">
        <f>Y21+Y31+Y11</f>
        <v>166422</v>
      </c>
      <c r="J41" s="621">
        <f>AI11+AI21+AI31</f>
        <v>189405</v>
      </c>
      <c r="K41" s="619">
        <f t="shared" ref="K41:S42" si="4">I11+I21+I31</f>
        <v>184800</v>
      </c>
      <c r="L41" s="619">
        <f t="shared" si="4"/>
        <v>1889</v>
      </c>
      <c r="M41" s="622">
        <f t="shared" si="4"/>
        <v>0</v>
      </c>
      <c r="N41" s="623">
        <f t="shared" si="4"/>
        <v>32867</v>
      </c>
      <c r="O41" s="622">
        <f t="shared" si="4"/>
        <v>27394</v>
      </c>
      <c r="P41" s="623">
        <f t="shared" si="4"/>
        <v>5473</v>
      </c>
      <c r="Q41" s="622">
        <f t="shared" si="4"/>
        <v>13065</v>
      </c>
      <c r="R41" s="623">
        <f t="shared" si="4"/>
        <v>11648</v>
      </c>
      <c r="S41" s="622">
        <f t="shared" si="4"/>
        <v>1417</v>
      </c>
      <c r="T41" s="624" t="b">
        <f>N41+M41=L41</f>
        <v>0</v>
      </c>
      <c r="U41" s="550" t="b">
        <f>Q41=R41+S41</f>
        <v>1</v>
      </c>
      <c r="V41" s="625" t="b">
        <f>D41=I41+J41</f>
        <v>1</v>
      </c>
      <c r="W41" s="53"/>
      <c r="X41" s="534" t="s">
        <v>1671</v>
      </c>
      <c r="Y41" s="619">
        <f>Y11+Y21+Y31</f>
        <v>166422</v>
      </c>
      <c r="Z41" s="619">
        <f t="shared" ref="Z41:AM42" si="5">Z11+Z21+Z31</f>
        <v>155497</v>
      </c>
      <c r="AA41" s="619">
        <f t="shared" si="5"/>
        <v>10925</v>
      </c>
      <c r="AB41" s="626">
        <f t="shared" si="5"/>
        <v>0</v>
      </c>
      <c r="AC41" s="620" t="b">
        <f>Y41=Z41+AA41+AB41</f>
        <v>1</v>
      </c>
      <c r="AD41" s="619">
        <f t="shared" si="5"/>
        <v>0</v>
      </c>
      <c r="AE41" s="619">
        <f t="shared" si="5"/>
        <v>29651</v>
      </c>
      <c r="AF41" s="619">
        <f t="shared" si="5"/>
        <v>60495</v>
      </c>
      <c r="AG41" s="619">
        <f t="shared" si="5"/>
        <v>76276</v>
      </c>
      <c r="AH41" s="627" t="b">
        <f>Y41=AD41+AE41+AF41+AG41</f>
        <v>1</v>
      </c>
      <c r="AI41" s="619">
        <f t="shared" si="5"/>
        <v>189405</v>
      </c>
      <c r="AJ41" s="619">
        <f t="shared" si="5"/>
        <v>34654</v>
      </c>
      <c r="AK41" s="626">
        <f t="shared" si="5"/>
        <v>154751</v>
      </c>
      <c r="AL41" s="619">
        <f t="shared" si="5"/>
        <v>127764</v>
      </c>
      <c r="AM41" s="622">
        <f t="shared" si="5"/>
        <v>61641</v>
      </c>
      <c r="AN41" s="558" t="b">
        <f>AJ41+AK41=AL41+AM41</f>
        <v>1</v>
      </c>
      <c r="AO41" s="559" t="b">
        <f>D41=Y41+AI41</f>
        <v>1</v>
      </c>
      <c r="AP41" s="53"/>
      <c r="AQ41" s="176"/>
      <c r="AR41" s="176"/>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117"/>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c r="DH41" s="117"/>
      <c r="DI41" s="117"/>
      <c r="DJ41" s="117"/>
      <c r="DK41" s="117"/>
      <c r="DL41" s="117"/>
      <c r="DM41" s="117"/>
      <c r="DN41" s="117"/>
      <c r="DO41" s="117"/>
      <c r="DP41" s="117"/>
      <c r="DQ41" s="117"/>
      <c r="DR41" s="117"/>
      <c r="DS41" s="117"/>
      <c r="DT41" s="117"/>
      <c r="DU41" s="117"/>
      <c r="DV41" s="117"/>
      <c r="DW41" s="117"/>
      <c r="DX41" s="117"/>
      <c r="DY41" s="117"/>
      <c r="DZ41" s="117"/>
    </row>
    <row r="42" spans="1:130" ht="15" customHeight="1" thickBot="1">
      <c r="A42" s="628" t="s">
        <v>1672</v>
      </c>
      <c r="B42" s="629">
        <f t="shared" si="3"/>
        <v>80703</v>
      </c>
      <c r="C42" s="629">
        <f t="shared" si="3"/>
        <v>58</v>
      </c>
      <c r="D42" s="629">
        <f t="shared" si="3"/>
        <v>80645</v>
      </c>
      <c r="E42" s="630" t="b">
        <f>B42=(C42+D42)</f>
        <v>1</v>
      </c>
      <c r="F42" s="629">
        <f t="shared" si="3"/>
        <v>61525</v>
      </c>
      <c r="G42" s="629">
        <f t="shared" si="3"/>
        <v>19120</v>
      </c>
      <c r="H42" s="630" t="b">
        <f>D42=(F42+G42)</f>
        <v>1</v>
      </c>
      <c r="I42" s="631">
        <f>Y22+Y32+Y12</f>
        <v>32743</v>
      </c>
      <c r="J42" s="631">
        <f>AI12+AI22+AI32</f>
        <v>47902</v>
      </c>
      <c r="K42" s="629">
        <f t="shared" si="4"/>
        <v>29319</v>
      </c>
      <c r="L42" s="629">
        <f t="shared" si="4"/>
        <v>4967</v>
      </c>
      <c r="M42" s="632">
        <f t="shared" si="4"/>
        <v>0</v>
      </c>
      <c r="N42" s="633">
        <f t="shared" si="4"/>
        <v>12511</v>
      </c>
      <c r="O42" s="634">
        <f t="shared" si="4"/>
        <v>8539</v>
      </c>
      <c r="P42" s="633">
        <f t="shared" si="4"/>
        <v>3972</v>
      </c>
      <c r="Q42" s="634">
        <f t="shared" si="4"/>
        <v>4674</v>
      </c>
      <c r="R42" s="633">
        <f t="shared" si="4"/>
        <v>3791</v>
      </c>
      <c r="S42" s="634">
        <f t="shared" si="4"/>
        <v>883</v>
      </c>
      <c r="T42" s="635" t="b">
        <f>N42+M42=L42</f>
        <v>0</v>
      </c>
      <c r="U42" s="636" t="b">
        <f>Q42=R42+S42</f>
        <v>1</v>
      </c>
      <c r="V42" s="637" t="b">
        <f>D42=I42+J42</f>
        <v>1</v>
      </c>
      <c r="W42" s="53"/>
      <c r="X42" s="534" t="s">
        <v>1672</v>
      </c>
      <c r="Y42" s="629">
        <f>Y12+Y22+Y32</f>
        <v>32743</v>
      </c>
      <c r="Z42" s="629">
        <f t="shared" si="5"/>
        <v>0</v>
      </c>
      <c r="AA42" s="629">
        <f t="shared" si="5"/>
        <v>32743</v>
      </c>
      <c r="AB42" s="638">
        <f t="shared" si="5"/>
        <v>0</v>
      </c>
      <c r="AC42" s="620" t="b">
        <f>Y42=Z42+AA42+AB42</f>
        <v>1</v>
      </c>
      <c r="AD42" s="629">
        <f t="shared" si="5"/>
        <v>627</v>
      </c>
      <c r="AE42" s="629">
        <f t="shared" si="5"/>
        <v>7788</v>
      </c>
      <c r="AF42" s="629">
        <f t="shared" si="5"/>
        <v>13171</v>
      </c>
      <c r="AG42" s="629">
        <f t="shared" si="5"/>
        <v>11157</v>
      </c>
      <c r="AH42" s="627" t="b">
        <f>Y42=AD42+AE42+AF42+AG42</f>
        <v>1</v>
      </c>
      <c r="AI42" s="629">
        <f t="shared" si="5"/>
        <v>47902</v>
      </c>
      <c r="AJ42" s="629">
        <f t="shared" si="5"/>
        <v>3523</v>
      </c>
      <c r="AK42" s="638">
        <f t="shared" si="5"/>
        <v>44379</v>
      </c>
      <c r="AL42" s="629">
        <f t="shared" si="5"/>
        <v>30343</v>
      </c>
      <c r="AM42" s="632">
        <f t="shared" si="5"/>
        <v>17559</v>
      </c>
      <c r="AN42" s="558" t="b">
        <f>AJ42+AK42=AL42+AM42</f>
        <v>1</v>
      </c>
      <c r="AO42" s="559" t="b">
        <f>D42=Y42+AI42</f>
        <v>1</v>
      </c>
      <c r="AP42" s="53"/>
      <c r="AQ42" s="176"/>
      <c r="AR42" s="176"/>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c r="CD42" s="117"/>
      <c r="CE42" s="117"/>
      <c r="CF42" s="117"/>
      <c r="CG42" s="117"/>
      <c r="CH42" s="117"/>
      <c r="CI42" s="117"/>
      <c r="CJ42" s="117"/>
      <c r="CK42" s="117"/>
      <c r="CL42" s="117"/>
      <c r="CM42" s="117"/>
      <c r="CN42" s="117"/>
      <c r="CO42" s="117"/>
      <c r="CP42" s="117"/>
      <c r="CQ42" s="117"/>
      <c r="CR42" s="117"/>
      <c r="CS42" s="117"/>
      <c r="CT42" s="117"/>
      <c r="CU42" s="117"/>
      <c r="CV42" s="117"/>
      <c r="CW42" s="117"/>
      <c r="CX42" s="117"/>
      <c r="CY42" s="117"/>
      <c r="CZ42" s="117"/>
      <c r="DA42" s="117"/>
      <c r="DB42" s="117"/>
      <c r="DC42" s="117"/>
      <c r="DD42" s="117"/>
      <c r="DE42" s="117"/>
      <c r="DF42" s="117"/>
      <c r="DG42" s="117"/>
      <c r="DH42" s="117"/>
      <c r="DI42" s="117"/>
      <c r="DJ42" s="117"/>
      <c r="DK42" s="117"/>
      <c r="DL42" s="117"/>
      <c r="DM42" s="117"/>
      <c r="DN42" s="117"/>
      <c r="DO42" s="117"/>
      <c r="DP42" s="117"/>
      <c r="DQ42" s="117"/>
      <c r="DR42" s="117"/>
      <c r="DS42" s="117"/>
      <c r="DT42" s="117"/>
      <c r="DU42" s="117"/>
      <c r="DV42" s="117"/>
      <c r="DW42" s="117"/>
      <c r="DX42" s="117"/>
      <c r="DY42" s="117"/>
      <c r="DZ42" s="117"/>
    </row>
    <row r="43" spans="1:130" s="110" customFormat="1" ht="15" customHeight="1" thickBot="1">
      <c r="A43" s="639" t="s">
        <v>1537</v>
      </c>
      <c r="B43" s="640">
        <f>SUM(B41:B42)</f>
        <v>436616</v>
      </c>
      <c r="C43" s="640">
        <f>SUM(C41:C42)</f>
        <v>144</v>
      </c>
      <c r="D43" s="640">
        <f>SUM(D41:D42)</f>
        <v>436472</v>
      </c>
      <c r="E43" s="572" t="b">
        <f>B43=(C43+D43)</f>
        <v>1</v>
      </c>
      <c r="F43" s="640">
        <f>SUM(F41:F42)</f>
        <v>406875</v>
      </c>
      <c r="G43" s="640">
        <f>SUM(G41:G42)</f>
        <v>29597</v>
      </c>
      <c r="H43" s="572" t="b">
        <f>D43=(F43+G43)</f>
        <v>1</v>
      </c>
      <c r="I43" s="640">
        <f t="shared" ref="I43:S43" si="6">SUM(I41:I42)</f>
        <v>199165</v>
      </c>
      <c r="J43" s="640">
        <f t="shared" si="6"/>
        <v>237307</v>
      </c>
      <c r="K43" s="640">
        <f t="shared" si="6"/>
        <v>214119</v>
      </c>
      <c r="L43" s="640">
        <f t="shared" si="6"/>
        <v>6856</v>
      </c>
      <c r="M43" s="641">
        <f t="shared" si="6"/>
        <v>0</v>
      </c>
      <c r="N43" s="642">
        <f t="shared" si="6"/>
        <v>45378</v>
      </c>
      <c r="O43" s="643">
        <f t="shared" si="6"/>
        <v>35933</v>
      </c>
      <c r="P43" s="643">
        <f t="shared" si="6"/>
        <v>9445</v>
      </c>
      <c r="Q43" s="643">
        <f t="shared" si="6"/>
        <v>17739</v>
      </c>
      <c r="R43" s="643">
        <f t="shared" si="6"/>
        <v>15439</v>
      </c>
      <c r="S43" s="643">
        <f t="shared" si="6"/>
        <v>2300</v>
      </c>
      <c r="T43" s="644" t="b">
        <f>N43+M43=L43</f>
        <v>0</v>
      </c>
      <c r="U43" s="579" t="b">
        <f>Q43=R43+S43</f>
        <v>1</v>
      </c>
      <c r="V43" s="579" t="b">
        <f>D43=I43+J43</f>
        <v>1</v>
      </c>
      <c r="W43" s="114"/>
      <c r="X43" s="569" t="s">
        <v>1673</v>
      </c>
      <c r="Y43" s="640">
        <f>SUM(Y41:Y42)</f>
        <v>199165</v>
      </c>
      <c r="Z43" s="640">
        <f t="shared" ref="Z43:AM43" si="7">SUM(Z41:Z42)</f>
        <v>155497</v>
      </c>
      <c r="AA43" s="640">
        <f t="shared" si="7"/>
        <v>43668</v>
      </c>
      <c r="AB43" s="645">
        <f t="shared" si="7"/>
        <v>0</v>
      </c>
      <c r="AC43" s="572" t="b">
        <f>Y43=Z43+AA43+AB43</f>
        <v>1</v>
      </c>
      <c r="AD43" s="640">
        <f t="shared" si="7"/>
        <v>627</v>
      </c>
      <c r="AE43" s="640">
        <f t="shared" si="7"/>
        <v>37439</v>
      </c>
      <c r="AF43" s="640">
        <f t="shared" si="7"/>
        <v>73666</v>
      </c>
      <c r="AG43" s="640">
        <f t="shared" si="7"/>
        <v>87433</v>
      </c>
      <c r="AH43" s="582" t="b">
        <f>Y43=AD43+AE43+AF43+AG43</f>
        <v>1</v>
      </c>
      <c r="AI43" s="640">
        <f t="shared" si="7"/>
        <v>237307</v>
      </c>
      <c r="AJ43" s="640">
        <f t="shared" si="7"/>
        <v>38177</v>
      </c>
      <c r="AK43" s="645">
        <f t="shared" si="7"/>
        <v>199130</v>
      </c>
      <c r="AL43" s="640">
        <f t="shared" si="7"/>
        <v>158107</v>
      </c>
      <c r="AM43" s="641">
        <f t="shared" si="7"/>
        <v>79200</v>
      </c>
      <c r="AN43" s="583" t="b">
        <f>AJ43+AK43=AL43+AM43</f>
        <v>1</v>
      </c>
      <c r="AO43" s="583" t="b">
        <f>D43=Y43+AI43</f>
        <v>1</v>
      </c>
      <c r="AP43" s="114"/>
      <c r="AQ43" s="175"/>
      <c r="AR43" s="17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CZ43" s="115"/>
      <c r="DA43" s="115"/>
      <c r="DB43" s="115"/>
      <c r="DC43" s="115"/>
      <c r="DD43" s="115"/>
      <c r="DE43" s="115"/>
      <c r="DF43" s="115"/>
      <c r="DG43" s="115"/>
      <c r="DH43" s="115"/>
      <c r="DI43" s="115"/>
      <c r="DJ43" s="115"/>
      <c r="DK43" s="115"/>
      <c r="DL43" s="115"/>
      <c r="DM43" s="115"/>
      <c r="DN43" s="115"/>
      <c r="DO43" s="115"/>
      <c r="DP43" s="115"/>
      <c r="DQ43" s="115"/>
      <c r="DR43" s="115"/>
      <c r="DS43" s="115"/>
      <c r="DT43" s="115"/>
      <c r="DU43" s="115"/>
      <c r="DV43" s="115"/>
      <c r="DW43" s="115"/>
      <c r="DX43" s="115"/>
      <c r="DY43" s="115"/>
      <c r="DZ43" s="115"/>
    </row>
    <row r="44" spans="1:130" ht="9.75"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row>
    <row r="45" spans="1:130" ht="15">
      <c r="A45" s="1110"/>
      <c r="B45" s="1110"/>
      <c r="C45" s="1110"/>
      <c r="D45" s="177"/>
      <c r="E45" s="177"/>
      <c r="F45" s="177"/>
      <c r="G45" s="177"/>
      <c r="H45" s="177"/>
      <c r="I45" s="177"/>
      <c r="J45" s="177"/>
      <c r="K45" s="177"/>
      <c r="L45" s="177"/>
      <c r="M45" s="177"/>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row>
    <row r="46" spans="1:130">
      <c r="A46" s="9"/>
      <c r="B46" s="9"/>
      <c r="C46" s="9"/>
      <c r="D46" s="9"/>
      <c r="E46" s="9"/>
      <c r="F46" s="9"/>
      <c r="G46" s="9"/>
      <c r="H46" s="9"/>
      <c r="I46" s="9"/>
      <c r="J46" s="9"/>
      <c r="K46" s="9"/>
      <c r="L46" s="9"/>
      <c r="M46" s="9"/>
    </row>
    <row r="51" spans="4:11">
      <c r="D51" s="118"/>
      <c r="E51" s="118"/>
      <c r="F51" s="118"/>
      <c r="G51" s="118"/>
      <c r="H51" s="118"/>
      <c r="I51" s="119"/>
      <c r="J51" s="119"/>
      <c r="K51" s="118"/>
    </row>
  </sheetData>
  <mergeCells count="125">
    <mergeCell ref="B6:B9"/>
    <mergeCell ref="C6:C9"/>
    <mergeCell ref="L6:N7"/>
    <mergeCell ref="F7:K7"/>
    <mergeCell ref="X25:AA25"/>
    <mergeCell ref="L8:L9"/>
    <mergeCell ref="M8:N8"/>
    <mergeCell ref="T26:U29"/>
    <mergeCell ref="K8:K9"/>
    <mergeCell ref="O6:Q7"/>
    <mergeCell ref="D7:D9"/>
    <mergeCell ref="E7:E9"/>
    <mergeCell ref="L18:L19"/>
    <mergeCell ref="Y18:Y19"/>
    <mergeCell ref="T16:U19"/>
    <mergeCell ref="F17:K17"/>
    <mergeCell ref="M18:N18"/>
    <mergeCell ref="O18:O19"/>
    <mergeCell ref="P18:Q18"/>
    <mergeCell ref="O16:Q17"/>
    <mergeCell ref="L16:N17"/>
    <mergeCell ref="X26:X29"/>
    <mergeCell ref="AL28:AM28"/>
    <mergeCell ref="AJ18:AK18"/>
    <mergeCell ref="Z28:AB28"/>
    <mergeCell ref="AD28:AG28"/>
    <mergeCell ref="AI28:AI29"/>
    <mergeCell ref="AH17:AH19"/>
    <mergeCell ref="AI17:AM17"/>
    <mergeCell ref="AD18:AG18"/>
    <mergeCell ref="AI18:AI19"/>
    <mergeCell ref="AL18:AM18"/>
    <mergeCell ref="Z18:AB18"/>
    <mergeCell ref="Y27:AG27"/>
    <mergeCell ref="AI27:AM27"/>
    <mergeCell ref="AH27:AH29"/>
    <mergeCell ref="AN17:AO19"/>
    <mergeCell ref="F27:K27"/>
    <mergeCell ref="AI7:AM7"/>
    <mergeCell ref="F8:G8"/>
    <mergeCell ref="O8:O9"/>
    <mergeCell ref="P8:Q8"/>
    <mergeCell ref="Y8:Y9"/>
    <mergeCell ref="J8:J9"/>
    <mergeCell ref="Y7:AG7"/>
    <mergeCell ref="X6:X9"/>
    <mergeCell ref="Z8:AB8"/>
    <mergeCell ref="Y6:AM6"/>
    <mergeCell ref="AH7:AH9"/>
    <mergeCell ref="X15:AA15"/>
    <mergeCell ref="I8:I9"/>
    <mergeCell ref="T6:U9"/>
    <mergeCell ref="D6:K6"/>
    <mergeCell ref="F18:G18"/>
    <mergeCell ref="I18:I19"/>
    <mergeCell ref="J18:J19"/>
    <mergeCell ref="K18:K19"/>
    <mergeCell ref="X16:X19"/>
    <mergeCell ref="Y16:AM16"/>
    <mergeCell ref="Y17:AG17"/>
    <mergeCell ref="X5:AA5"/>
    <mergeCell ref="A6:A9"/>
    <mergeCell ref="A4:S4"/>
    <mergeCell ref="AN7:AO9"/>
    <mergeCell ref="AD8:AG8"/>
    <mergeCell ref="AI8:AI9"/>
    <mergeCell ref="AJ8:AK8"/>
    <mergeCell ref="AL8:AM8"/>
    <mergeCell ref="AN27:AO29"/>
    <mergeCell ref="L28:L29"/>
    <mergeCell ref="M28:N28"/>
    <mergeCell ref="O28:O29"/>
    <mergeCell ref="P28:Q28"/>
    <mergeCell ref="Y28:Y29"/>
    <mergeCell ref="AJ28:AK28"/>
    <mergeCell ref="L26:N27"/>
    <mergeCell ref="O26:Q27"/>
    <mergeCell ref="Y26:AM26"/>
    <mergeCell ref="A16:A19"/>
    <mergeCell ref="B16:B19"/>
    <mergeCell ref="C16:C19"/>
    <mergeCell ref="D16:K16"/>
    <mergeCell ref="D17:D19"/>
    <mergeCell ref="E17:E19"/>
    <mergeCell ref="A26:A29"/>
    <mergeCell ref="B26:B29"/>
    <mergeCell ref="C26:C29"/>
    <mergeCell ref="D26:K26"/>
    <mergeCell ref="F28:G28"/>
    <mergeCell ref="D27:D29"/>
    <mergeCell ref="E27:E29"/>
    <mergeCell ref="I28:I29"/>
    <mergeCell ref="J28:J29"/>
    <mergeCell ref="K28:K29"/>
    <mergeCell ref="A45:C45"/>
    <mergeCell ref="R38:S38"/>
    <mergeCell ref="Y38:Y39"/>
    <mergeCell ref="N36:P37"/>
    <mergeCell ref="Q36:S37"/>
    <mergeCell ref="X36:X39"/>
    <mergeCell ref="Y36:AM36"/>
    <mergeCell ref="AI37:AM37"/>
    <mergeCell ref="L38:L39"/>
    <mergeCell ref="A36:A39"/>
    <mergeCell ref="B36:B39"/>
    <mergeCell ref="C36:C39"/>
    <mergeCell ref="D36:M36"/>
    <mergeCell ref="D37:D39"/>
    <mergeCell ref="M38:M39"/>
    <mergeCell ref="AD38:AG38"/>
    <mergeCell ref="Z38:AB38"/>
    <mergeCell ref="N38:N39"/>
    <mergeCell ref="O38:P38"/>
    <mergeCell ref="Q38:Q39"/>
    <mergeCell ref="X35:AA35"/>
    <mergeCell ref="AJ38:AK38"/>
    <mergeCell ref="AL38:AM38"/>
    <mergeCell ref="AI38:AI39"/>
    <mergeCell ref="E37:E39"/>
    <mergeCell ref="F37:M37"/>
    <mergeCell ref="K38:K39"/>
    <mergeCell ref="F38:G38"/>
    <mergeCell ref="I38:I39"/>
    <mergeCell ref="J38:J39"/>
    <mergeCell ref="Y37:AG37"/>
  </mergeCells>
  <phoneticPr fontId="2" type="noConversion"/>
  <conditionalFormatting sqref="AC31:AC33 AH31:AH33 AN41:AO42 AC21:AC23 AH21:AH23 AN31:AO32 AC11:AC13 AN21:AO22 AH11:AH13 AN11:AO12 AC41:AC43 AH41:AH43">
    <cfRule type="cellIs" dxfId="3" priority="8" stopIfTrue="1" operator="equal">
      <formula>FALSE</formula>
    </cfRule>
  </conditionalFormatting>
  <conditionalFormatting sqref="V36:V43">
    <cfRule type="cellIs" dxfId="2" priority="9" stopIfTrue="1" operator="equal">
      <formula>TRUE</formula>
    </cfRule>
    <cfRule type="cellIs" dxfId="1" priority="10" stopIfTrue="1" operator="equal">
      <formula>FALSE</formula>
    </cfRule>
  </conditionalFormatting>
  <conditionalFormatting sqref="E31:E33 H31:H33 T31:U32 E21:E23 H21:H23 T21:U22 H11:H13 E11:E13 T11:U13 E41:E43 H41:H43">
    <cfRule type="cellIs" dxfId="0" priority="11" stopIfTrue="1" operator="equal">
      <formula>FALSE</formula>
    </cfRule>
  </conditionalFormatting>
  <conditionalFormatting sqref="AN13:AO13">
    <cfRule type="cellIs" priority="12" stopIfTrue="1" operator="equal">
      <formula>FALSE</formula>
    </cfRule>
  </conditionalFormatting>
  <pageMargins left="0.4" right="0.18" top="0.27" bottom="0.26" header="0.23" footer="0.19"/>
  <pageSetup paperSize="9" scale="61" orientation="landscape" r:id="rId1"/>
  <headerFooter alignWithMargins="0"/>
  <rowBreaks count="1" manualBreakCount="1">
    <brk id="44" max="41" man="1"/>
  </rowBreaks>
  <colBreaks count="1" manualBreakCount="1">
    <brk id="19" max="46" man="1"/>
  </colBreaks>
</worksheet>
</file>

<file path=xl/worksheets/sheet8.xml><?xml version="1.0" encoding="utf-8"?>
<worksheet xmlns="http://schemas.openxmlformats.org/spreadsheetml/2006/main" xmlns:r="http://schemas.openxmlformats.org/officeDocument/2006/relationships">
  <sheetPr codeName="Лист8">
    <tabColor rgb="FF00B0F0"/>
  </sheetPr>
  <dimension ref="A1:J44"/>
  <sheetViews>
    <sheetView view="pageLayout" zoomScale="85" zoomScaleNormal="100" zoomScalePageLayoutView="85" workbookViewId="0">
      <selection activeCell="G31" sqref="G31"/>
    </sheetView>
  </sheetViews>
  <sheetFormatPr defaultRowHeight="12.75"/>
  <cols>
    <col min="1" max="1" width="5.28515625" style="2" customWidth="1"/>
    <col min="2" max="2" width="20.7109375" style="2" customWidth="1"/>
    <col min="3" max="3" width="12.42578125" style="2" customWidth="1"/>
    <col min="4" max="4" width="17.28515625" style="2" customWidth="1"/>
    <col min="5" max="5" width="12.5703125" style="2" customWidth="1"/>
    <col min="6" max="6" width="17.28515625" style="2" customWidth="1"/>
    <col min="7" max="7" width="22.7109375" style="2" customWidth="1"/>
    <col min="8" max="8" width="17.85546875" style="2" customWidth="1"/>
    <col min="9" max="16384" width="9.140625" style="2"/>
  </cols>
  <sheetData>
    <row r="1" spans="1:8" ht="22.5" customHeight="1">
      <c r="A1" s="971" t="s">
        <v>1330</v>
      </c>
      <c r="B1" s="972"/>
      <c r="C1" s="972"/>
      <c r="D1" s="972"/>
      <c r="E1" s="972"/>
      <c r="F1" s="972"/>
      <c r="G1" s="972"/>
      <c r="H1" s="973"/>
    </row>
    <row r="2" spans="1:8" ht="61.5" customHeight="1">
      <c r="A2" s="38" t="s">
        <v>1531</v>
      </c>
      <c r="B2" s="38" t="s">
        <v>70</v>
      </c>
      <c r="C2" s="38" t="s">
        <v>1634</v>
      </c>
      <c r="D2" s="38" t="s">
        <v>1384</v>
      </c>
      <c r="E2" s="38" t="s">
        <v>122</v>
      </c>
      <c r="F2" s="38" t="s">
        <v>1635</v>
      </c>
      <c r="G2" s="38" t="s">
        <v>1636</v>
      </c>
      <c r="H2" s="38" t="s">
        <v>1584</v>
      </c>
    </row>
    <row r="3" spans="1:8" ht="13.5" customHeight="1">
      <c r="A3" s="239">
        <v>1</v>
      </c>
      <c r="B3" s="239">
        <v>2</v>
      </c>
      <c r="C3" s="239">
        <v>3</v>
      </c>
      <c r="D3" s="239">
        <v>4</v>
      </c>
      <c r="E3" s="239">
        <v>5</v>
      </c>
      <c r="F3" s="239">
        <v>6</v>
      </c>
      <c r="G3" s="239">
        <v>7</v>
      </c>
      <c r="H3" s="239">
        <v>8</v>
      </c>
    </row>
    <row r="4" spans="1:8" ht="12.75" customHeight="1">
      <c r="A4" s="408">
        <v>1</v>
      </c>
      <c r="B4" s="698" t="s">
        <v>1331</v>
      </c>
      <c r="C4" s="698">
        <v>390</v>
      </c>
      <c r="D4" s="698" t="s">
        <v>1332</v>
      </c>
      <c r="E4" s="698">
        <v>0.22</v>
      </c>
      <c r="F4" s="698">
        <v>2.5</v>
      </c>
      <c r="G4" s="698">
        <v>390</v>
      </c>
      <c r="H4" s="408"/>
    </row>
    <row r="5" spans="1:8" ht="12.75" customHeight="1">
      <c r="A5" s="408">
        <v>2</v>
      </c>
      <c r="B5" s="698" t="s">
        <v>1333</v>
      </c>
      <c r="C5" s="698">
        <v>100</v>
      </c>
      <c r="D5" s="698" t="s">
        <v>1334</v>
      </c>
      <c r="E5" s="698">
        <v>0.22</v>
      </c>
      <c r="F5" s="698">
        <v>2</v>
      </c>
      <c r="G5" s="698" t="s">
        <v>1335</v>
      </c>
      <c r="H5" s="408"/>
    </row>
    <row r="6" spans="1:8" ht="12.75" customHeight="1">
      <c r="A6" s="408">
        <v>3</v>
      </c>
      <c r="B6" s="698" t="s">
        <v>1336</v>
      </c>
      <c r="C6" s="698">
        <v>78</v>
      </c>
      <c r="D6" s="698" t="s">
        <v>1337</v>
      </c>
      <c r="E6" s="698">
        <v>0.22</v>
      </c>
      <c r="F6" s="698">
        <v>2</v>
      </c>
      <c r="G6" s="698">
        <v>59</v>
      </c>
      <c r="H6" s="408"/>
    </row>
    <row r="7" spans="1:8" ht="12.75" customHeight="1">
      <c r="A7" s="408">
        <v>4</v>
      </c>
      <c r="B7" s="698" t="s">
        <v>1338</v>
      </c>
      <c r="C7" s="698">
        <v>87</v>
      </c>
      <c r="D7" s="698" t="s">
        <v>1339</v>
      </c>
      <c r="E7" s="698">
        <v>0.22</v>
      </c>
      <c r="F7" s="698">
        <v>2</v>
      </c>
      <c r="G7" s="698" t="s">
        <v>1335</v>
      </c>
      <c r="H7" s="408"/>
    </row>
    <row r="8" spans="1:8" ht="12.75" customHeight="1">
      <c r="A8" s="408">
        <v>5</v>
      </c>
      <c r="B8" s="698" t="s">
        <v>1340</v>
      </c>
      <c r="C8" s="698">
        <v>235</v>
      </c>
      <c r="D8" s="698" t="s">
        <v>1339</v>
      </c>
      <c r="E8" s="698">
        <v>0.22</v>
      </c>
      <c r="F8" s="698">
        <v>1</v>
      </c>
      <c r="G8" s="698">
        <v>80</v>
      </c>
      <c r="H8" s="408"/>
    </row>
    <row r="9" spans="1:8" ht="12.75" customHeight="1">
      <c r="A9" s="408">
        <v>6</v>
      </c>
      <c r="B9" s="698" t="s">
        <v>1341</v>
      </c>
      <c r="C9" s="698">
        <v>77</v>
      </c>
      <c r="D9" s="698" t="s">
        <v>1342</v>
      </c>
      <c r="E9" s="698">
        <v>0.22</v>
      </c>
      <c r="F9" s="698">
        <v>2</v>
      </c>
      <c r="G9" s="698" t="s">
        <v>1335</v>
      </c>
      <c r="H9" s="408"/>
    </row>
    <row r="10" spans="1:8" ht="12.75" customHeight="1">
      <c r="A10" s="408">
        <v>7</v>
      </c>
      <c r="B10" s="698" t="s">
        <v>1343</v>
      </c>
      <c r="C10" s="698">
        <v>868</v>
      </c>
      <c r="D10" s="698" t="s">
        <v>1344</v>
      </c>
      <c r="E10" s="698">
        <v>0.22</v>
      </c>
      <c r="F10" s="698">
        <v>1</v>
      </c>
      <c r="G10" s="698" t="s">
        <v>1335</v>
      </c>
      <c r="H10" s="408"/>
    </row>
    <row r="11" spans="1:8" ht="12.75" customHeight="1">
      <c r="A11" s="408">
        <v>8</v>
      </c>
      <c r="B11" s="698" t="s">
        <v>1345</v>
      </c>
      <c r="C11" s="698">
        <v>8</v>
      </c>
      <c r="D11" s="698" t="s">
        <v>1346</v>
      </c>
      <c r="E11" s="698">
        <v>0.22</v>
      </c>
      <c r="F11" s="698">
        <v>1</v>
      </c>
      <c r="G11" s="698" t="s">
        <v>1335</v>
      </c>
      <c r="H11" s="477"/>
    </row>
    <row r="12" spans="1:8" ht="12.75" customHeight="1">
      <c r="A12" s="408">
        <v>9</v>
      </c>
      <c r="B12" s="698" t="s">
        <v>1347</v>
      </c>
      <c r="C12" s="698">
        <v>1826</v>
      </c>
      <c r="D12" s="698" t="s">
        <v>1348</v>
      </c>
      <c r="E12" s="698" t="s">
        <v>1349</v>
      </c>
      <c r="F12" s="698">
        <v>2</v>
      </c>
      <c r="G12" s="698">
        <v>972</v>
      </c>
      <c r="H12" s="408"/>
    </row>
    <row r="13" spans="1:8" ht="12.75" customHeight="1">
      <c r="A13" s="408">
        <v>10</v>
      </c>
      <c r="B13" s="698" t="s">
        <v>1350</v>
      </c>
      <c r="C13" s="698">
        <v>35</v>
      </c>
      <c r="D13" s="698" t="s">
        <v>1337</v>
      </c>
      <c r="E13" s="698">
        <v>0.4</v>
      </c>
      <c r="F13" s="698">
        <v>2</v>
      </c>
      <c r="G13" s="698">
        <v>33</v>
      </c>
      <c r="H13" s="408"/>
    </row>
    <row r="14" spans="1:8" ht="12.75" customHeight="1">
      <c r="A14" s="408">
        <v>11</v>
      </c>
      <c r="B14" s="698" t="s">
        <v>1350</v>
      </c>
      <c r="C14" s="698">
        <v>588</v>
      </c>
      <c r="D14" s="698" t="s">
        <v>1337</v>
      </c>
      <c r="E14" s="698">
        <v>0.4</v>
      </c>
      <c r="F14" s="698">
        <v>1</v>
      </c>
      <c r="G14" s="698">
        <v>174</v>
      </c>
      <c r="H14" s="408"/>
    </row>
    <row r="15" spans="1:8" ht="12.75" customHeight="1">
      <c r="A15" s="408">
        <v>12</v>
      </c>
      <c r="B15" s="698" t="s">
        <v>1351</v>
      </c>
      <c r="C15" s="698">
        <v>843</v>
      </c>
      <c r="D15" s="698" t="s">
        <v>1339</v>
      </c>
      <c r="E15" s="698">
        <v>0.4</v>
      </c>
      <c r="F15" s="698">
        <v>1</v>
      </c>
      <c r="G15" s="698">
        <v>294</v>
      </c>
      <c r="H15" s="408"/>
    </row>
    <row r="16" spans="1:8" ht="12.75" customHeight="1">
      <c r="A16" s="408">
        <v>13</v>
      </c>
      <c r="B16" s="698" t="s">
        <v>1352</v>
      </c>
      <c r="C16" s="698">
        <v>296</v>
      </c>
      <c r="D16" s="698" t="s">
        <v>1353</v>
      </c>
      <c r="E16" s="698">
        <v>0.4</v>
      </c>
      <c r="F16" s="698">
        <v>1</v>
      </c>
      <c r="G16" s="698">
        <v>235</v>
      </c>
      <c r="H16" s="408"/>
    </row>
    <row r="17" spans="1:10" ht="12.75" customHeight="1">
      <c r="A17" s="408">
        <v>14</v>
      </c>
      <c r="B17" s="698" t="s">
        <v>1354</v>
      </c>
      <c r="C17" s="698">
        <v>284</v>
      </c>
      <c r="D17" s="698" t="s">
        <v>1346</v>
      </c>
      <c r="E17" s="698">
        <v>0.4</v>
      </c>
      <c r="F17" s="698">
        <v>1</v>
      </c>
      <c r="G17" s="698" t="s">
        <v>1335</v>
      </c>
      <c r="H17" s="408"/>
    </row>
    <row r="18" spans="1:10" ht="12.75" customHeight="1">
      <c r="A18" s="408">
        <v>15</v>
      </c>
      <c r="B18" s="698" t="s">
        <v>1355</v>
      </c>
      <c r="C18" s="698">
        <v>846</v>
      </c>
      <c r="D18" s="698" t="s">
        <v>1344</v>
      </c>
      <c r="E18" s="698">
        <v>0.4</v>
      </c>
      <c r="F18" s="698">
        <v>1</v>
      </c>
      <c r="G18" s="698" t="s">
        <v>1335</v>
      </c>
      <c r="H18" s="408"/>
    </row>
    <row r="19" spans="1:10" ht="12.75" customHeight="1">
      <c r="A19" s="408">
        <v>16</v>
      </c>
      <c r="B19" s="698" t="s">
        <v>1356</v>
      </c>
      <c r="C19" s="698">
        <v>90</v>
      </c>
      <c r="D19" s="698" t="s">
        <v>1344</v>
      </c>
      <c r="E19" s="698">
        <v>0.4</v>
      </c>
      <c r="F19" s="698">
        <v>1</v>
      </c>
      <c r="G19" s="698" t="s">
        <v>1335</v>
      </c>
      <c r="H19" s="408"/>
    </row>
    <row r="20" spans="1:10" ht="12.75" customHeight="1">
      <c r="A20" s="408">
        <v>17</v>
      </c>
      <c r="B20" s="698" t="s">
        <v>1357</v>
      </c>
      <c r="C20" s="698">
        <v>15</v>
      </c>
      <c r="D20" s="698" t="s">
        <v>1342</v>
      </c>
      <c r="E20" s="698">
        <v>0.4</v>
      </c>
      <c r="F20" s="698">
        <v>1</v>
      </c>
      <c r="G20" s="698" t="s">
        <v>1335</v>
      </c>
      <c r="H20" s="408"/>
    </row>
    <row r="21" spans="1:10" ht="12.75" customHeight="1">
      <c r="A21" s="408">
        <v>18</v>
      </c>
      <c r="B21" s="698" t="s">
        <v>1358</v>
      </c>
      <c r="C21" s="698">
        <v>53</v>
      </c>
      <c r="D21" s="699" t="s">
        <v>1274</v>
      </c>
      <c r="E21" s="698">
        <v>0.4</v>
      </c>
      <c r="F21" s="698">
        <v>0.5</v>
      </c>
      <c r="G21" s="698" t="s">
        <v>1335</v>
      </c>
      <c r="H21" s="408"/>
    </row>
    <row r="22" spans="1:10" ht="12.75" customHeight="1">
      <c r="A22" s="408">
        <v>19</v>
      </c>
      <c r="B22" s="698" t="s">
        <v>1359</v>
      </c>
      <c r="C22" s="698">
        <v>69</v>
      </c>
      <c r="D22" s="698" t="s">
        <v>1337</v>
      </c>
      <c r="E22" s="698">
        <v>0.4</v>
      </c>
      <c r="F22" s="698">
        <v>2</v>
      </c>
      <c r="G22" s="698" t="s">
        <v>1335</v>
      </c>
      <c r="H22" s="408"/>
    </row>
    <row r="23" spans="1:10" ht="12.75" customHeight="1">
      <c r="A23" s="408">
        <v>20</v>
      </c>
      <c r="B23" s="698" t="s">
        <v>1359</v>
      </c>
      <c r="C23" s="698">
        <v>16</v>
      </c>
      <c r="D23" s="698" t="s">
        <v>1337</v>
      </c>
      <c r="E23" s="698">
        <v>10</v>
      </c>
      <c r="F23" s="698">
        <v>2</v>
      </c>
      <c r="G23" s="698" t="s">
        <v>1335</v>
      </c>
      <c r="H23" s="408"/>
    </row>
    <row r="24" spans="1:10" ht="12.75" customHeight="1">
      <c r="A24" s="408">
        <v>21</v>
      </c>
      <c r="B24" s="698" t="s">
        <v>1360</v>
      </c>
      <c r="C24" s="698">
        <v>33</v>
      </c>
      <c r="D24" s="698" t="s">
        <v>1337</v>
      </c>
      <c r="E24" s="698">
        <v>10</v>
      </c>
      <c r="F24" s="698">
        <v>0.5</v>
      </c>
      <c r="G24" s="698" t="s">
        <v>1335</v>
      </c>
      <c r="H24" s="408"/>
    </row>
    <row r="25" spans="1:10" ht="12.75" customHeight="1">
      <c r="A25" s="408">
        <v>22</v>
      </c>
      <c r="B25" s="698" t="s">
        <v>1354</v>
      </c>
      <c r="C25" s="698">
        <v>16</v>
      </c>
      <c r="D25" s="698" t="s">
        <v>1346</v>
      </c>
      <c r="E25" s="698">
        <v>10</v>
      </c>
      <c r="F25" s="698">
        <v>0.5</v>
      </c>
      <c r="G25" s="698" t="s">
        <v>1335</v>
      </c>
      <c r="H25" s="408"/>
    </row>
    <row r="26" spans="1:10" ht="12.75" customHeight="1">
      <c r="A26" s="408">
        <v>23</v>
      </c>
      <c r="B26" s="698" t="s">
        <v>1361</v>
      </c>
      <c r="C26" s="698">
        <v>88</v>
      </c>
      <c r="D26" s="698" t="s">
        <v>1362</v>
      </c>
      <c r="E26" s="698">
        <v>10</v>
      </c>
      <c r="F26" s="698">
        <v>0.5</v>
      </c>
      <c r="G26" s="698" t="s">
        <v>1335</v>
      </c>
      <c r="H26" s="408"/>
    </row>
    <row r="27" spans="1:10" ht="12.75" customHeight="1">
      <c r="A27" s="408">
        <v>24</v>
      </c>
      <c r="B27" s="698" t="s">
        <v>1302</v>
      </c>
      <c r="C27" s="698">
        <v>43</v>
      </c>
      <c r="D27" s="698" t="s">
        <v>1353</v>
      </c>
      <c r="E27" s="698">
        <v>10</v>
      </c>
      <c r="F27" s="698">
        <v>0.5</v>
      </c>
      <c r="G27" s="698" t="s">
        <v>1335</v>
      </c>
      <c r="H27" s="408"/>
    </row>
    <row r="28" spans="1:10" ht="12.75" customHeight="1">
      <c r="A28" s="408">
        <v>25</v>
      </c>
      <c r="B28" s="698" t="s">
        <v>1363</v>
      </c>
      <c r="C28" s="698">
        <v>14</v>
      </c>
      <c r="D28" s="699" t="s">
        <v>1274</v>
      </c>
      <c r="E28" s="698">
        <v>10</v>
      </c>
      <c r="F28" s="698">
        <v>0.5</v>
      </c>
      <c r="G28" s="698" t="s">
        <v>1335</v>
      </c>
      <c r="H28" s="408"/>
    </row>
    <row r="29" spans="1:10" ht="12.75" customHeight="1">
      <c r="A29" s="408">
        <v>26</v>
      </c>
      <c r="B29" s="700" t="s">
        <v>1364</v>
      </c>
      <c r="C29" s="700">
        <v>25</v>
      </c>
      <c r="D29" s="698" t="s">
        <v>1365</v>
      </c>
      <c r="E29" s="698">
        <v>10</v>
      </c>
      <c r="F29" s="698">
        <v>0.5</v>
      </c>
      <c r="G29" s="698" t="s">
        <v>1335</v>
      </c>
      <c r="H29" s="408"/>
    </row>
    <row r="30" spans="1:10" ht="12.75" customHeight="1">
      <c r="A30" s="1177" t="s">
        <v>14</v>
      </c>
      <c r="B30" s="1178"/>
      <c r="C30" s="706">
        <f>SUM(C10:C29)</f>
        <v>6056</v>
      </c>
      <c r="D30" s="704"/>
      <c r="E30" s="704"/>
      <c r="F30" s="705"/>
      <c r="G30" s="706">
        <f>G4+G6+G8+G12+G13+G14+G15+G16</f>
        <v>2237</v>
      </c>
      <c r="H30" s="707"/>
      <c r="J30" s="179"/>
    </row>
    <row r="31" spans="1:10" ht="12.75" customHeight="1">
      <c r="A31" s="178"/>
      <c r="B31" s="178"/>
      <c r="C31" s="178"/>
      <c r="D31" s="178"/>
      <c r="E31" s="178"/>
      <c r="F31" s="178"/>
      <c r="G31" s="178"/>
      <c r="H31" s="178"/>
    </row>
    <row r="32" spans="1:10">
      <c r="A32" s="178"/>
      <c r="B32" s="178"/>
      <c r="C32" s="178"/>
      <c r="D32" s="178"/>
      <c r="E32" s="178"/>
      <c r="F32" s="178"/>
      <c r="G32" s="178"/>
      <c r="H32" s="178"/>
    </row>
    <row r="33" spans="1:10">
      <c r="A33" s="178"/>
      <c r="B33" s="178"/>
      <c r="C33" s="178"/>
      <c r="D33" s="178"/>
      <c r="E33" s="178"/>
      <c r="F33" s="178"/>
      <c r="G33" s="178"/>
      <c r="H33" s="178"/>
    </row>
    <row r="34" spans="1:10">
      <c r="A34" s="178"/>
      <c r="B34" s="178"/>
      <c r="C34" s="178"/>
      <c r="D34" s="178"/>
      <c r="E34" s="178"/>
      <c r="F34" s="178"/>
      <c r="G34" s="178"/>
      <c r="H34" s="178"/>
    </row>
    <row r="35" spans="1:10">
      <c r="A35" s="178"/>
      <c r="B35" s="178"/>
      <c r="C35" s="178"/>
      <c r="D35" s="178"/>
      <c r="E35" s="178"/>
      <c r="F35" s="178"/>
      <c r="G35" s="178"/>
      <c r="H35" s="178"/>
    </row>
    <row r="36" spans="1:10">
      <c r="A36" s="178"/>
      <c r="B36" s="178"/>
      <c r="C36" s="178"/>
      <c r="D36" s="178"/>
      <c r="E36" s="178"/>
      <c r="F36" s="178"/>
      <c r="G36" s="178"/>
      <c r="H36" s="178"/>
    </row>
    <row r="37" spans="1:10">
      <c r="A37" s="178"/>
      <c r="B37" s="178"/>
      <c r="C37" s="178"/>
      <c r="D37" s="178"/>
      <c r="E37" s="178"/>
      <c r="F37" s="178"/>
      <c r="G37" s="178"/>
      <c r="H37" s="178"/>
    </row>
    <row r="38" spans="1:10">
      <c r="A38" s="178"/>
      <c r="B38" s="178"/>
      <c r="C38" s="178"/>
      <c r="D38" s="178"/>
      <c r="E38" s="178"/>
      <c r="F38" s="178"/>
      <c r="G38" s="178"/>
      <c r="H38" s="178"/>
    </row>
    <row r="39" spans="1:10">
      <c r="A39" s="178"/>
      <c r="B39" s="178"/>
      <c r="C39" s="178"/>
      <c r="D39" s="178"/>
      <c r="E39" s="178"/>
      <c r="F39" s="178"/>
      <c r="G39" s="178"/>
      <c r="H39" s="178"/>
    </row>
    <row r="40" spans="1:10">
      <c r="A40" s="178"/>
      <c r="B40" s="178"/>
      <c r="C40" s="178"/>
      <c r="D40" s="178"/>
      <c r="E40" s="178"/>
      <c r="F40" s="178"/>
      <c r="G40" s="178"/>
      <c r="H40" s="178"/>
      <c r="J40" s="179"/>
    </row>
    <row r="41" spans="1:10">
      <c r="A41" s="178"/>
      <c r="B41" s="178"/>
      <c r="C41" s="178"/>
      <c r="D41" s="178"/>
      <c r="E41" s="178"/>
      <c r="F41" s="178"/>
      <c r="G41" s="178"/>
      <c r="H41" s="178"/>
    </row>
    <row r="42" spans="1:10">
      <c r="A42" s="178"/>
      <c r="B42" s="178"/>
      <c r="C42" s="178"/>
      <c r="D42" s="178"/>
      <c r="E42" s="178"/>
      <c r="F42" s="178"/>
      <c r="G42" s="178"/>
      <c r="H42" s="178"/>
    </row>
    <row r="43" spans="1:10">
      <c r="A43" s="178"/>
      <c r="B43" s="178"/>
      <c r="C43" s="178"/>
      <c r="D43" s="178"/>
      <c r="E43" s="178"/>
      <c r="F43" s="178"/>
      <c r="G43" s="178"/>
      <c r="H43" s="178"/>
    </row>
    <row r="44" spans="1:10" ht="18.75">
      <c r="A44" s="179"/>
      <c r="B44" s="179"/>
      <c r="C44" s="179"/>
      <c r="D44" s="179"/>
      <c r="E44" s="179"/>
      <c r="F44" s="179"/>
      <c r="G44" s="179"/>
      <c r="H44" s="179"/>
      <c r="J44" s="180"/>
    </row>
  </sheetData>
  <sheetProtection insertRows="0" deleteRows="0"/>
  <mergeCells count="2">
    <mergeCell ref="A1:H1"/>
    <mergeCell ref="A30:B30"/>
  </mergeCells>
  <phoneticPr fontId="2" type="noConversion"/>
  <pageMargins left="0.94" right="0.75" top="0.81" bottom="1" header="0.5" footer="0.5"/>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sheetPr codeName="Лист9">
    <tabColor rgb="FF00B0F0"/>
  </sheetPr>
  <dimension ref="A1:K18"/>
  <sheetViews>
    <sheetView view="pageLayout" zoomScale="70" zoomScaleNormal="100" zoomScalePageLayoutView="70" workbookViewId="0">
      <selection activeCell="E13" sqref="E13"/>
    </sheetView>
  </sheetViews>
  <sheetFormatPr defaultRowHeight="12.75"/>
  <cols>
    <col min="1" max="1" width="4" style="1" customWidth="1"/>
    <col min="2" max="2" width="16.42578125" style="1" customWidth="1"/>
    <col min="3" max="3" width="20.85546875" style="1" customWidth="1"/>
    <col min="4" max="4" width="23.85546875" style="1" customWidth="1"/>
    <col min="5" max="5" width="20.28515625" style="1" customWidth="1"/>
    <col min="6" max="6" width="23.85546875" style="1" customWidth="1"/>
    <col min="7" max="7" width="8.28515625" style="1" customWidth="1"/>
    <col min="8" max="16384" width="9.140625" style="1"/>
  </cols>
  <sheetData>
    <row r="1" spans="1:11" s="94" customFormat="1" ht="18.75">
      <c r="A1" s="97"/>
      <c r="B1" s="97"/>
      <c r="C1" s="97"/>
      <c r="D1" s="152"/>
      <c r="E1" s="97"/>
      <c r="F1" s="97"/>
    </row>
    <row r="2" spans="1:11" s="94" customFormat="1" ht="15.75">
      <c r="A2" s="97"/>
      <c r="B2" s="97"/>
      <c r="C2" s="97"/>
      <c r="D2" s="97"/>
      <c r="E2" s="959"/>
      <c r="F2" s="959"/>
      <c r="H2" s="146"/>
      <c r="I2" s="146"/>
      <c r="J2" s="34"/>
      <c r="K2" s="32"/>
    </row>
    <row r="3" spans="1:11" s="94" customFormat="1" ht="15.75">
      <c r="A3" s="97"/>
      <c r="B3" s="97"/>
      <c r="C3" s="97"/>
      <c r="D3" s="97"/>
      <c r="E3" s="97"/>
      <c r="F3" s="97"/>
      <c r="G3" s="33"/>
      <c r="H3" s="35"/>
      <c r="I3" s="35"/>
      <c r="J3" s="35"/>
      <c r="K3" s="32"/>
    </row>
    <row r="4" spans="1:11" ht="27" customHeight="1">
      <c r="A4" s="1179" t="s">
        <v>147</v>
      </c>
      <c r="B4" s="1180"/>
      <c r="C4" s="1180"/>
      <c r="D4" s="1180"/>
      <c r="E4" s="1180"/>
      <c r="F4" s="1181"/>
    </row>
    <row r="5" spans="1:11" ht="33" customHeight="1">
      <c r="A5" s="1182" t="s">
        <v>1531</v>
      </c>
      <c r="B5" s="1182" t="s">
        <v>1385</v>
      </c>
      <c r="C5" s="989" t="s">
        <v>1328</v>
      </c>
      <c r="D5" s="989"/>
      <c r="E5" s="989" t="s">
        <v>1329</v>
      </c>
      <c r="F5" s="989"/>
    </row>
    <row r="6" spans="1:11" ht="32.25" customHeight="1">
      <c r="A6" s="1183"/>
      <c r="B6" s="1183"/>
      <c r="C6" s="37" t="s">
        <v>1387</v>
      </c>
      <c r="D6" s="37" t="s">
        <v>1386</v>
      </c>
      <c r="E6" s="37" t="s">
        <v>1387</v>
      </c>
      <c r="F6" s="37" t="s">
        <v>1386</v>
      </c>
    </row>
    <row r="7" spans="1:11" ht="15">
      <c r="A7" s="239">
        <v>1</v>
      </c>
      <c r="B7" s="239">
        <v>2</v>
      </c>
      <c r="C7" s="239">
        <v>3</v>
      </c>
      <c r="D7" s="239">
        <v>4</v>
      </c>
      <c r="E7" s="239">
        <v>5</v>
      </c>
      <c r="F7" s="239">
        <v>6</v>
      </c>
    </row>
    <row r="8" spans="1:11" ht="15">
      <c r="A8" s="37">
        <v>1</v>
      </c>
      <c r="B8" s="61" t="s">
        <v>1587</v>
      </c>
      <c r="C8" s="701">
        <v>2357</v>
      </c>
      <c r="D8" s="474">
        <f>IF(C13=0,0,C8/C13)</f>
        <v>0.38920079260237783</v>
      </c>
      <c r="E8" s="701">
        <v>2414</v>
      </c>
      <c r="F8" s="474">
        <f>IF(E13=0,0,E8/E13)</f>
        <v>0.39993373094764745</v>
      </c>
    </row>
    <row r="9" spans="1:11" s="5" customFormat="1" ht="15">
      <c r="A9" s="37">
        <v>2</v>
      </c>
      <c r="B9" s="61" t="s">
        <v>1590</v>
      </c>
      <c r="C9" s="702">
        <v>2693</v>
      </c>
      <c r="D9" s="475">
        <f>IF(C13=0,0,C9/C13)</f>
        <v>0.44468295904887717</v>
      </c>
      <c r="E9" s="702">
        <v>2547</v>
      </c>
      <c r="F9" s="475">
        <f>IF(E13=0,0,E9/E13)</f>
        <v>0.42196819085487075</v>
      </c>
    </row>
    <row r="10" spans="1:11" ht="15">
      <c r="A10" s="37">
        <v>3</v>
      </c>
      <c r="B10" s="61" t="s">
        <v>1591</v>
      </c>
      <c r="C10" s="702">
        <v>834</v>
      </c>
      <c r="D10" s="475">
        <f>IF(C13=0,0,C10/C13)</f>
        <v>0.13771466314398942</v>
      </c>
      <c r="E10" s="702">
        <v>966</v>
      </c>
      <c r="F10" s="475">
        <f>IF(E13=0,0,E10/E13)</f>
        <v>0.16003976143141152</v>
      </c>
    </row>
    <row r="11" spans="1:11" s="5" customFormat="1" ht="15">
      <c r="A11" s="37">
        <v>4</v>
      </c>
      <c r="B11" s="61" t="s">
        <v>1588</v>
      </c>
      <c r="C11" s="702">
        <v>161</v>
      </c>
      <c r="D11" s="475">
        <f>IF(C13=0,0,C11/C13)</f>
        <v>2.6585204755614267E-2</v>
      </c>
      <c r="E11" s="702">
        <v>104</v>
      </c>
      <c r="F11" s="475">
        <f>IF(E13=0,0,E11/E13)</f>
        <v>1.7229953611663355E-2</v>
      </c>
    </row>
    <row r="12" spans="1:11" ht="15">
      <c r="A12" s="37">
        <v>5</v>
      </c>
      <c r="B12" s="61" t="s">
        <v>1589</v>
      </c>
      <c r="C12" s="703">
        <v>11</v>
      </c>
      <c r="D12" s="476">
        <f>IF(C13=0,0,C12/C13)</f>
        <v>1.8163804491413474E-3</v>
      </c>
      <c r="E12" s="703">
        <v>5</v>
      </c>
      <c r="F12" s="476">
        <f>IF(E13=0,0,E12/E13)</f>
        <v>8.2836315440689193E-4</v>
      </c>
    </row>
    <row r="13" spans="1:11" s="5" customFormat="1" ht="14.25">
      <c r="A13" s="252"/>
      <c r="B13" s="251" t="s">
        <v>30</v>
      </c>
      <c r="C13" s="253">
        <f>SUM(C8:C12)</f>
        <v>6056</v>
      </c>
      <c r="D13" s="254"/>
      <c r="E13" s="253">
        <f>SUM(E8:E12)</f>
        <v>6036</v>
      </c>
      <c r="F13" s="254"/>
    </row>
    <row r="14" spans="1:11">
      <c r="A14" s="127"/>
      <c r="B14" s="127"/>
      <c r="C14" s="127"/>
      <c r="D14" s="127"/>
      <c r="E14" s="127"/>
      <c r="F14" s="127"/>
    </row>
    <row r="15" spans="1:11">
      <c r="A15" s="171"/>
      <c r="B15" s="171"/>
      <c r="C15" s="171"/>
      <c r="D15" s="171"/>
      <c r="E15" s="171"/>
      <c r="F15" s="171"/>
    </row>
    <row r="16" spans="1:11">
      <c r="A16" s="171"/>
      <c r="B16" s="171"/>
      <c r="C16" s="171"/>
      <c r="D16" s="171"/>
      <c r="E16" s="171"/>
      <c r="F16" s="171"/>
    </row>
    <row r="17" spans="1:6">
      <c r="A17" s="171"/>
      <c r="B17" s="171"/>
      <c r="C17" s="171"/>
      <c r="D17" s="171"/>
      <c r="E17" s="171"/>
      <c r="F17" s="171"/>
    </row>
    <row r="18" spans="1:6">
      <c r="A18" s="171"/>
      <c r="B18" s="171"/>
      <c r="C18" s="171"/>
      <c r="D18" s="171"/>
      <c r="E18" s="171"/>
      <c r="F18" s="171"/>
    </row>
  </sheetData>
  <mergeCells count="6">
    <mergeCell ref="E2:F2"/>
    <mergeCell ref="A4:F4"/>
    <mergeCell ref="E5:F5"/>
    <mergeCell ref="C5:D5"/>
    <mergeCell ref="A5:A6"/>
    <mergeCell ref="B5:B6"/>
  </mergeCells>
  <phoneticPr fontId="2" type="noConversion"/>
  <pageMargins left="1.78" right="0.75" top="0.77" bottom="1" header="0.5" footer="0.5"/>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33</vt:i4>
      </vt:variant>
      <vt:variant>
        <vt:lpstr>Именованные диапазоны</vt:lpstr>
      </vt:variant>
      <vt:variant>
        <vt:i4>11</vt:i4>
      </vt:variant>
    </vt:vector>
  </HeadingPairs>
  <TitlesOfParts>
    <vt:vector size="44" baseType="lpstr">
      <vt:lpstr>Титульна сторінка</vt:lpstr>
      <vt:lpstr>1. Незавершене будівництво</vt:lpstr>
      <vt:lpstr>2. Джерела фінансування</vt:lpstr>
      <vt:lpstr>3. План інвестицій</vt:lpstr>
      <vt:lpstr>4. Технічний стан</vt:lpstr>
      <vt:lpstr>4.1. Характеристика мереж</vt:lpstr>
      <vt:lpstr>4.2. Облік</vt:lpstr>
      <vt:lpstr>4.2.1. Облік промспоживачів</vt:lpstr>
      <vt:lpstr>4.2.2. Облік промспоживачів</vt:lpstr>
      <vt:lpstr>4.2.3. Облік населення</vt:lpstr>
      <vt:lpstr>4.2.4. Облік населення</vt:lpstr>
      <vt:lpstr>4.3. Стан комерційного обліку</vt:lpstr>
      <vt:lpstr>4.3.1. Техн стан вимір Т</vt:lpstr>
      <vt:lpstr>4.4. Технічний облік</vt:lpstr>
      <vt:lpstr>4.5. Стан комп'ютерної техніки</vt:lpstr>
      <vt:lpstr>4.6. Стан транспорту</vt:lpstr>
      <vt:lpstr>4.6.1.</vt:lpstr>
      <vt:lpstr>4.6.2 </vt:lpstr>
      <vt:lpstr>4.7. Витрати</vt:lpstr>
      <vt:lpstr>4.8. Характеристика за 5 років</vt:lpstr>
      <vt:lpstr>5. Загальний опис робіт</vt:lpstr>
      <vt:lpstr>5.1. Електричні мережі</vt:lpstr>
      <vt:lpstr>5.1.1. Обсяги робіт</vt:lpstr>
      <vt:lpstr>5.2. Зниження понаднорматива</vt:lpstr>
      <vt:lpstr>5.3. АСДТК</vt:lpstr>
      <vt:lpstr>5.3.1</vt:lpstr>
      <vt:lpstr>5.4. Інформаційні технології</vt:lpstr>
      <vt:lpstr>5.5. Зв'язок</vt:lpstr>
      <vt:lpstr>5.5.1</vt:lpstr>
      <vt:lpstr>5.6. Транспорт</vt:lpstr>
      <vt:lpstr>5.7. Інше</vt:lpstr>
      <vt:lpstr>6. Проведення закупівлі</vt:lpstr>
      <vt:lpstr>7. Інновації</vt:lpstr>
      <vt:lpstr>'2. Джерела фінансування'!Область_печати</vt:lpstr>
      <vt:lpstr>'3. План інвестицій'!Область_печати</vt:lpstr>
      <vt:lpstr>'4. Технічний стан'!Область_печати</vt:lpstr>
      <vt:lpstr>'4.2. Облік'!Область_печати</vt:lpstr>
      <vt:lpstr>'4.5. Стан комп''ютерної техніки'!Область_печати</vt:lpstr>
      <vt:lpstr>'4.6. Стан транспорту'!Область_печати</vt:lpstr>
      <vt:lpstr>'4.8. Характеристика за 5 років'!Область_печати</vt:lpstr>
      <vt:lpstr>'5.1.1. Обсяги робіт'!Область_печати</vt:lpstr>
      <vt:lpstr>'5.4. Інформаційні технології'!Область_печати</vt:lpstr>
      <vt:lpstr>'6. Проведення закупівлі'!Область_печати</vt:lpstr>
      <vt:lpstr>'Титульна сторінка'!Область_печати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Mykola.Pavliv</cp:lastModifiedBy>
  <cp:lastPrinted>2014-08-04T13:32:37Z</cp:lastPrinted>
  <dcterms:created xsi:type="dcterms:W3CDTF">2003-02-20T10:09:41Z</dcterms:created>
  <dcterms:modified xsi:type="dcterms:W3CDTF">2014-08-04T13:41:26Z</dcterms:modified>
</cp:coreProperties>
</file>